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8_{B356140E-93F4-427F-9E41-9B1D8DC584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2022" sheetId="1" r:id="rId1"/>
    <sheet name="Hoja1" sheetId="2" r:id="rId2"/>
  </sheets>
  <externalReferences>
    <externalReference r:id="rId3"/>
  </externalReferences>
  <definedNames>
    <definedName name="_xlnm.Print_Area" localSheetId="0">'Noviembre 2022'!$A$1:$N$107</definedName>
    <definedName name="OLE_LINK1" localSheetId="1">Hoja1!$D$31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3" i="1" l="1"/>
  <c r="N77" i="1"/>
  <c r="N78" i="1"/>
  <c r="N79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41" i="1"/>
  <c r="N40" i="1"/>
  <c r="N39" i="1"/>
  <c r="N38" i="1"/>
  <c r="N37" i="1"/>
  <c r="N36" i="1"/>
  <c r="N35" i="1"/>
  <c r="N32" i="1"/>
  <c r="N31" i="1"/>
  <c r="N30" i="1"/>
  <c r="N29" i="1"/>
  <c r="N28" i="1"/>
  <c r="N11" i="1"/>
  <c r="N12" i="1"/>
  <c r="N42" i="1"/>
  <c r="N43" i="1"/>
  <c r="N44" i="1"/>
  <c r="N45" i="1"/>
  <c r="N46" i="1"/>
  <c r="N47" i="1"/>
  <c r="N48" i="1"/>
  <c r="N49" i="1"/>
  <c r="N50" i="1"/>
  <c r="N51" i="1"/>
  <c r="N82" i="1"/>
  <c r="N83" i="1"/>
  <c r="N84" i="1"/>
  <c r="N85" i="1"/>
  <c r="N86" i="1"/>
  <c r="N87" i="1"/>
  <c r="N88" i="1"/>
  <c r="N89" i="1"/>
  <c r="M13" i="1"/>
  <c r="M9" i="1"/>
  <c r="N90" i="1" l="1"/>
  <c r="M22" i="1"/>
  <c r="M19" i="1"/>
  <c r="M16" i="1"/>
  <c r="N16" i="1" s="1"/>
  <c r="M90" i="1"/>
  <c r="M52" i="1"/>
  <c r="M34" i="1"/>
  <c r="M24" i="1"/>
  <c r="M8" i="1"/>
  <c r="L90" i="1"/>
  <c r="L52" i="1"/>
  <c r="L34" i="1"/>
  <c r="L24" i="1"/>
  <c r="L14" i="1"/>
  <c r="L8" i="1"/>
  <c r="M14" i="1" l="1"/>
  <c r="M80" i="1" s="1"/>
  <c r="M92" i="1" s="1"/>
  <c r="L80" i="1"/>
  <c r="C28" i="2"/>
  <c r="C29" i="2"/>
  <c r="C31" i="2"/>
  <c r="C32" i="2"/>
  <c r="C33" i="2"/>
  <c r="C34" i="2"/>
  <c r="C35" i="2"/>
  <c r="C36" i="2"/>
  <c r="C37" i="2"/>
  <c r="D41" i="2"/>
  <c r="E27" i="2"/>
  <c r="C27" i="2" s="1"/>
  <c r="E30" i="2"/>
  <c r="C30" i="2" s="1"/>
  <c r="E41" i="2" l="1"/>
  <c r="E43" i="2" s="1"/>
  <c r="E45" i="2" s="1"/>
  <c r="E46" i="2" s="1"/>
  <c r="E48" i="2" s="1"/>
  <c r="L92" i="1"/>
  <c r="J9" i="2"/>
  <c r="E9" i="2"/>
  <c r="E18" i="2" s="1"/>
  <c r="E19" i="2" s="1"/>
  <c r="E13" i="2"/>
  <c r="E15" i="2"/>
  <c r="E10" i="2"/>
  <c r="E6" i="2"/>
  <c r="F18" i="2"/>
  <c r="K22" i="1"/>
  <c r="K14" i="1" s="1"/>
  <c r="K52" i="1"/>
  <c r="K90" i="1"/>
  <c r="K8" i="1"/>
  <c r="K24" i="1"/>
  <c r="K34" i="1"/>
  <c r="J90" i="1"/>
  <c r="J52" i="1"/>
  <c r="J34" i="1"/>
  <c r="J24" i="1"/>
  <c r="J14" i="1"/>
  <c r="J8" i="1"/>
  <c r="I90" i="1"/>
  <c r="I34" i="1"/>
  <c r="I22" i="1"/>
  <c r="I14" i="1" s="1"/>
  <c r="I52" i="1"/>
  <c r="I9" i="1"/>
  <c r="I8" i="1" s="1"/>
  <c r="I24" i="1"/>
  <c r="K80" i="1" l="1"/>
  <c r="J80" i="1"/>
  <c r="J92" i="1" s="1"/>
  <c r="I80" i="1"/>
  <c r="I92" i="1" s="1"/>
  <c r="C90" i="1"/>
  <c r="D90" i="1"/>
  <c r="E90" i="1"/>
  <c r="F90" i="1"/>
  <c r="G90" i="1"/>
  <c r="H90" i="1"/>
  <c r="O90" i="1"/>
  <c r="B90" i="1"/>
  <c r="H52" i="1"/>
  <c r="H34" i="1"/>
  <c r="H24" i="1"/>
  <c r="H14" i="1"/>
  <c r="H8" i="1"/>
  <c r="G52" i="1"/>
  <c r="G34" i="1"/>
  <c r="G24" i="1"/>
  <c r="G14" i="1"/>
  <c r="G8" i="1"/>
  <c r="F52" i="1"/>
  <c r="F34" i="1"/>
  <c r="E34" i="1"/>
  <c r="F24" i="1"/>
  <c r="F14" i="1"/>
  <c r="F8" i="1"/>
  <c r="E24" i="1"/>
  <c r="E14" i="1"/>
  <c r="E10" i="1"/>
  <c r="N10" i="1" s="1"/>
  <c r="K92" i="1" l="1"/>
  <c r="E8" i="1"/>
  <c r="E80" i="1" s="1"/>
  <c r="E92" i="1" s="1"/>
  <c r="H80" i="1"/>
  <c r="G80" i="1"/>
  <c r="G92" i="1" s="1"/>
  <c r="F80" i="1"/>
  <c r="D9" i="1"/>
  <c r="D52" i="1"/>
  <c r="C52" i="1"/>
  <c r="B52" i="1"/>
  <c r="D13" i="1"/>
  <c r="N13" i="1" s="1"/>
  <c r="D34" i="1"/>
  <c r="D33" i="1"/>
  <c r="D24" i="1" s="1"/>
  <c r="B24" i="1"/>
  <c r="D22" i="1"/>
  <c r="D21" i="1"/>
  <c r="N21" i="1" s="1"/>
  <c r="N52" i="1" l="1"/>
  <c r="H92" i="1"/>
  <c r="F92" i="1"/>
  <c r="D19" i="1"/>
  <c r="N19" i="1" s="1"/>
  <c r="D15" i="1"/>
  <c r="B14" i="1"/>
  <c r="C33" i="1"/>
  <c r="N33" i="1" s="1"/>
  <c r="C27" i="1"/>
  <c r="N27" i="1" s="1"/>
  <c r="C26" i="1"/>
  <c r="N26" i="1" s="1"/>
  <c r="C25" i="1"/>
  <c r="N25" i="1" s="1"/>
  <c r="C9" i="1"/>
  <c r="N9" i="1" s="1"/>
  <c r="C23" i="1"/>
  <c r="N23" i="1" s="1"/>
  <c r="C22" i="1"/>
  <c r="N22" i="1" s="1"/>
  <c r="R22" i="1" s="1"/>
  <c r="C20" i="1"/>
  <c r="N20" i="1" s="1"/>
  <c r="C18" i="1"/>
  <c r="N18" i="1" s="1"/>
  <c r="C17" i="1"/>
  <c r="N17" i="1" s="1"/>
  <c r="C15" i="1"/>
  <c r="N15" i="1" s="1"/>
  <c r="D14" i="1" l="1"/>
  <c r="D8" i="1"/>
  <c r="C14" i="1"/>
  <c r="N14" i="1" s="1"/>
  <c r="C24" i="1"/>
  <c r="N24" i="1" s="1"/>
  <c r="C34" i="1"/>
  <c r="B34" i="1"/>
  <c r="B8" i="1"/>
  <c r="N34" i="1" l="1"/>
  <c r="D80" i="1"/>
  <c r="D92" i="1" s="1"/>
  <c r="C8" i="1"/>
  <c r="N8" i="1" s="1"/>
  <c r="C80" i="1" l="1"/>
  <c r="C92" i="1" l="1"/>
  <c r="B80" i="1"/>
  <c r="N80" i="1" l="1"/>
  <c r="N92" i="1" s="1"/>
  <c r="R95" i="1" s="1"/>
  <c r="B92" i="1"/>
  <c r="P15" i="1" l="1"/>
  <c r="P52" i="1"/>
  <c r="P34" i="1"/>
  <c r="P24" i="1"/>
  <c r="P14" i="1"/>
  <c r="P8" i="1"/>
  <c r="P92" i="1" l="1"/>
  <c r="Q14" i="1"/>
  <c r="R12" i="1" s="1"/>
</calcChain>
</file>

<file path=xl/sharedStrings.xml><?xml version="1.0" encoding="utf-8"?>
<sst xmlns="http://schemas.openxmlformats.org/spreadsheetml/2006/main" count="148" uniqueCount="132">
  <si>
    <t>Ejecución de Gastos y Aplicaciones Financieras</t>
  </si>
  <si>
    <t>Detalles</t>
  </si>
  <si>
    <t>2-GASTOS</t>
  </si>
  <si>
    <t>2.1.1-REMUNERACIONES</t>
  </si>
  <si>
    <t>2.1.2-SOBRESUELDOS</t>
  </si>
  <si>
    <t>2.1.3-DIETAS Y GASTOS DE REPRESENTACIÓN</t>
  </si>
  <si>
    <t>2.1.5-CONTRIBUCIONES A LA SEGURIDAD SOCIAL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</si>
  <si>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</si>
  <si>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</si>
  <si>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</si>
  <si>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</si>
  <si>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</si>
  <si>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</si>
  <si>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</si>
  <si>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</si>
  <si>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</si>
  <si>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</si>
  <si>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</si>
  <si>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</si>
  <si>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</si>
  <si>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</si>
  <si>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</si>
  <si>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</si>
  <si>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</si>
  <si>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</si>
  <si>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2.4.1-TRANSFERENCIAS CORRIENTES AL SECTOR PRIVADO</t>
  </si>
  <si>
    <t>2.4.7-TRANSFERENCIAS CORRIENTES AL SECTOR EXTERNO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</si>
  <si>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</si>
  <si>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</si>
  <si>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</si>
  <si>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</si>
  <si>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</si>
  <si>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</si>
  <si>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</si>
  <si>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</si>
  <si>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</si>
  <si>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</si>
  <si>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</si>
  <si>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</si>
  <si>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</si>
  <si>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</si>
  <si>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</si>
  <si>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</si>
  <si>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</si>
  <si>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</si>
  <si>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</si>
  <si>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</si>
  <si>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</si>
  <si>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</si>
  <si>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</si>
  <si>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</si>
  <si>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</si>
  <si>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</si>
  <si>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</si>
  <si>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</si>
  <si>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</si>
  <si>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</si>
  <si>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</si>
  <si>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</si>
  <si>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</si>
  <si>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</si>
  <si>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</si>
  <si>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</si>
  <si>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</si>
  <si>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</si>
  <si>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</si>
  <si>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</si>
  <si>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</si>
  <si>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</si>
  <si>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</si>
  <si>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</si>
  <si>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</si>
  <si>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</si>
  <si>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</si>
  <si>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</si>
  <si>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</si>
  <si>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</si>
  <si>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</si>
  <si>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</si>
  <si>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</si>
  <si>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</si>
  <si>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</si>
  <si>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</si>
  <si>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</si>
  <si>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>Febrero</t>
  </si>
  <si>
    <t>Año 2022</t>
  </si>
  <si>
    <t>Marzo</t>
  </si>
  <si>
    <t>2.6.8-BIENES INTANGIBLES</t>
  </si>
  <si>
    <t>Abril</t>
  </si>
  <si>
    <t>Mayo</t>
  </si>
  <si>
    <t>Junio</t>
  </si>
  <si>
    <t>Julio</t>
  </si>
  <si>
    <t>Agosto</t>
  </si>
  <si>
    <t>Septiembre</t>
  </si>
  <si>
    <t>Octubre</t>
  </si>
  <si>
    <t xml:space="preserve">   2.1-REMUNERACIONES Y CONTRIBUCIONES</t>
  </si>
  <si>
    <t xml:space="preserve">   2.2-CONTRATACIÓN DE SERVICIOS</t>
  </si>
  <si>
    <t xml:space="preserve">  2.3-MATERIALES Y SUMINISTROS</t>
  </si>
  <si>
    <t xml:space="preserve">   2.4-TRANSFERENCIAS CORRIENTES</t>
  </si>
  <si>
    <t xml:space="preserve">   2.5 - TRANSFERENCIAS DE CAPITAL</t>
  </si>
  <si>
    <t xml:space="preserve">   2.6-BIENES MUEBLES, INMUEBLES E INTANGIBLES</t>
  </si>
  <si>
    <t xml:space="preserve">   2.7 - OBRAS</t>
  </si>
  <si>
    <t xml:space="preserve">   2.8 - ADQUISICIÓN DE ACTIVOS FINANCIEROS CON FINES DE POLÍTICA</t>
  </si>
  <si>
    <t xml:space="preserve">   2.9 – GASTOS FINANCIEROS</t>
  </si>
  <si>
    <t>Director Ejecutivo</t>
  </si>
  <si>
    <t>2.2.7-SERVICIOS DE CONSERVACIÓN, REPARACIONES MENORES E INSTALACIONES TEMPORALES</t>
  </si>
  <si>
    <t>Nominas</t>
  </si>
  <si>
    <t>Servicios Basicos</t>
  </si>
  <si>
    <t>Adquisición de Servicios</t>
  </si>
  <si>
    <t>Compra de materiales y suministros</t>
  </si>
  <si>
    <t>Activos fijos y Software</t>
  </si>
  <si>
    <t>Transferencias a Organismos Internacionales</t>
  </si>
  <si>
    <t>Presupuesto 2023</t>
  </si>
  <si>
    <t>Nomina y G. Corriente</t>
  </si>
  <si>
    <t>Transferencias Recibidas del MICM, 2022</t>
  </si>
  <si>
    <t>OJO</t>
  </si>
  <si>
    <t>TRANSFERENCIA RECIBIDA PARA GASTOS CORRIENTES Y/O INGRESOS CORRESPONDIENTE A FEBRERO 2022</t>
  </si>
  <si>
    <t>TRANSFERENCIA RECIBIDA PARA GASTOS CORRIENTES Y/O INGRESOS CORRESPONDIENTE A ENERO 2022</t>
  </si>
  <si>
    <t>TRANSFERENCIA RECIBIDA PARA GASTOS CORRIENTES Y/O INGRESOS CORRESPONDIENTE A MARZO Y ABRIL 2022</t>
  </si>
  <si>
    <t>TRANSFERENCIA RECIBIDA PARA GASTOS CORRIENTES Y/O INGRESOS CORRESPONDIENTE A MAYO 2022</t>
  </si>
  <si>
    <t>TOTAL TRANSFERENCIA RECIBIDA 2022</t>
  </si>
  <si>
    <t>TRANSFERENCIA RECIBIDA PARA GASTOS CORRIENTES Y/O INGRESOS CORRESPONDIENTE A JUNIO 2022</t>
  </si>
  <si>
    <t>TRANSFERENCIA RECIBIDA PARA GASTOS CORRIENTES Y/O INGRESOS CORRESPONDIENTE A JULIO 2022</t>
  </si>
  <si>
    <t>TRANSFERENCIA RECIBIDA PARA GASTOS CORRIENTES Y/O INGRESOS CORRESPONDIENTE A AGOSTO 2022</t>
  </si>
  <si>
    <t>TRANSFERENCIA RECIBIDA PARA GASTOS CORRIENTES Y/O INGRESOS CORRESPONDIENTE A SEPTIEMBRE 2022</t>
  </si>
  <si>
    <t>Nómina</t>
  </si>
  <si>
    <t>Regalia</t>
  </si>
  <si>
    <t>Diciembre</t>
  </si>
  <si>
    <t>Noviembre</t>
  </si>
  <si>
    <t xml:space="preserve">Diciembre </t>
  </si>
  <si>
    <t xml:space="preserve">                                                                                    Claribel Abreu</t>
  </si>
  <si>
    <t xml:space="preserve">                                                                        Encargada Div.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</si>
</sst>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49" fontId="3" fillId="0" borderId="3" xfId="0" applyNumberFormat="1" applyFont="1" applyBorder="1" applyAlignment="1">
      <alignment horizontal="left" indent="3"/>
    </xf>
    <xf numFmtId="49" fontId="2" fillId="3" borderId="2" xfId="0" applyNumberFormat="1" applyFont="1" applyFill="1" applyBorder="1" applyAlignment="1">
      <alignment horizontal="left"/>
    </xf>
    <xf numFmtId="0" fontId="6" fillId="0" borderId="0" xfId="0" applyFont="1"/>
    <xf numFmtId="0" fontId="11" fillId="0" borderId="0" xfId="0" applyFont="1"/>
    <xf numFmtId="49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/>
    <xf numFmtId="2" fontId="14" fillId="3" borderId="1" xfId="0" applyNumberFormat="1" applyFont="1" applyFill="1" applyBorder="1"/>
    <xf numFmtId="0" fontId="14" fillId="3" borderId="3" xfId="0" applyFont="1" applyFill="1" applyBorder="1"/>
    <xf numFmtId="0" fontId="13" fillId="0" borderId="0" xfId="0" applyFont="1" applyAlignment="1">
      <alignment horizontal="left" vertical="center"/>
    </xf>
    <xf numFmtId="4" fontId="0" fillId="0" borderId="0" xfId="3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3" xfId="0" applyNumberFormat="1" applyFont="1" applyBorder="1" applyAlignment="1">
      <alignment horizontal="right" indent="3"/>
    </xf>
    <xf numFmtId="4" fontId="4" fillId="0" borderId="1" xfId="3" applyNumberFormat="1" applyFont="1" applyBorder="1" applyAlignment="1">
      <alignment horizontal="right" indent="3"/>
    </xf>
    <xf numFmtId="4" fontId="13" fillId="0" borderId="1" xfId="0" applyNumberFormat="1" applyFont="1" applyBorder="1" applyAlignment="1">
      <alignment horizontal="right"/>
    </xf>
    <xf numFmtId="4" fontId="14" fillId="0" borderId="2" xfId="1" applyNumberFormat="1" applyFont="1" applyBorder="1" applyAlignment="1">
      <alignment horizontal="right" vertical="center"/>
    </xf>
    <xf numFmtId="4" fontId="14" fillId="0" borderId="2" xfId="3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3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1" applyNumberFormat="1" applyFont="1" applyBorder="1" applyAlignment="1">
      <alignment horizontal="right" vertical="center"/>
    </xf>
    <xf numFmtId="4" fontId="14" fillId="0" borderId="1" xfId="3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3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 vertical="center"/>
    </xf>
    <xf numFmtId="4" fontId="3" fillId="3" borderId="2" xfId="1" applyNumberFormat="1" applyFont="1" applyFill="1" applyBorder="1" applyAlignment="1">
      <alignment horizontal="right"/>
    </xf>
    <xf numFmtId="4" fontId="3" fillId="3" borderId="2" xfId="3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right" indent="3"/>
    </xf>
    <xf numFmtId="4" fontId="3" fillId="0" borderId="5" xfId="3" applyNumberFormat="1" applyFont="1" applyBorder="1" applyAlignment="1">
      <alignment horizontal="right" indent="3"/>
    </xf>
    <xf numFmtId="4" fontId="14" fillId="0" borderId="3" xfId="0" applyNumberFormat="1" applyFont="1" applyBorder="1" applyAlignment="1">
      <alignment horizontal="right"/>
    </xf>
    <xf numFmtId="4" fontId="14" fillId="3" borderId="1" xfId="0" applyNumberFormat="1" applyFont="1" applyFill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3" fillId="0" borderId="4" xfId="3" applyNumberFormat="1" applyFont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4" fontId="14" fillId="3" borderId="3" xfId="3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0" borderId="0" xfId="3" applyNumberFormat="1" applyFont="1" applyAlignment="1">
      <alignment horizontal="right"/>
    </xf>
    <xf numFmtId="4" fontId="15" fillId="0" borderId="0" xfId="0" applyNumberFormat="1" applyFont="1" applyAlignment="1">
      <alignment horizontal="right" vertical="center" shrinkToFit="1"/>
    </xf>
    <xf numFmtId="4" fontId="12" fillId="0" borderId="0" xfId="0" applyNumberFormat="1" applyFont="1" applyAlignment="1">
      <alignment horizontal="right" vertical="top" wrapText="1"/>
    </xf>
    <xf numFmtId="4" fontId="0" fillId="0" borderId="0" xfId="3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3" applyNumberFormat="1" applyFont="1" applyBorder="1" applyAlignment="1">
      <alignment horizontal="right"/>
    </xf>
    <xf numFmtId="49" fontId="10" fillId="2" borderId="6" xfId="0" applyNumberFormat="1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7" xfId="3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0" fillId="0" borderId="0" xfId="4" applyFont="1"/>
    <xf numFmtId="9" fontId="11" fillId="0" borderId="0" xfId="4" applyFont="1"/>
    <xf numFmtId="9" fontId="13" fillId="0" borderId="0" xfId="4" applyFont="1"/>
    <xf numFmtId="9" fontId="14" fillId="0" borderId="0" xfId="4" applyFont="1" applyAlignment="1">
      <alignment vertical="center"/>
    </xf>
    <xf numFmtId="9" fontId="13" fillId="0" borderId="0" xfId="4" applyFont="1" applyAlignment="1">
      <alignment vertical="center"/>
    </xf>
    <xf numFmtId="9" fontId="13" fillId="0" borderId="0" xfId="4" applyFont="1" applyAlignment="1">
      <alignment vertical="center" wrapText="1"/>
    </xf>
    <xf numFmtId="9" fontId="14" fillId="0" borderId="0" xfId="4" applyFont="1"/>
    <xf numFmtId="9" fontId="14" fillId="0" borderId="0" xfId="0" applyNumberFormat="1" applyFont="1" applyAlignment="1">
      <alignment vertical="center"/>
    </xf>
    <xf numFmtId="9" fontId="13" fillId="0" borderId="0" xfId="0" applyNumberFormat="1" applyFont="1" applyAlignment="1">
      <alignment vertical="center"/>
    </xf>
    <xf numFmtId="10" fontId="14" fillId="0" borderId="0" xfId="4" applyNumberFormat="1" applyFont="1" applyAlignment="1">
      <alignment vertical="center"/>
    </xf>
    <xf numFmtId="10" fontId="0" fillId="0" borderId="0" xfId="4" applyNumberFormat="1" applyFont="1"/>
    <xf numFmtId="43" fontId="0" fillId="0" borderId="0" xfId="3" applyFont="1"/>
    <xf numFmtId="43" fontId="6" fillId="0" borderId="9" xfId="3" applyFont="1" applyBorder="1"/>
    <xf numFmtId="43" fontId="0" fillId="0" borderId="0" xfId="0" applyNumberFormat="1"/>
    <xf numFmtId="43" fontId="6" fillId="0" borderId="0" xfId="0" applyNumberFormat="1" applyFont="1"/>
    <xf numFmtId="10" fontId="6" fillId="0" borderId="0" xfId="4" applyNumberFormat="1" applyFont="1"/>
    <xf numFmtId="17" fontId="0" fillId="0" borderId="0" xfId="4" applyNumberFormat="1" applyFont="1"/>
    <xf numFmtId="4" fontId="0" fillId="0" borderId="0" xfId="0" applyNumberFormat="1"/>
    <xf numFmtId="0" fontId="16" fillId="0" borderId="0" xfId="0" applyFont="1" applyAlignment="1">
      <alignment horizontal="right"/>
    </xf>
    <xf numFmtId="43" fontId="16" fillId="0" borderId="0" xfId="3" applyFont="1"/>
    <xf numFmtId="0" fontId="16" fillId="0" borderId="0" xfId="0" applyFont="1"/>
    <xf numFmtId="0" fontId="17" fillId="0" borderId="0" xfId="0" applyFont="1"/>
    <xf numFmtId="9" fontId="6" fillId="0" borderId="0" xfId="4" applyFont="1"/>
    <xf numFmtId="4" fontId="10" fillId="2" borderId="10" xfId="3" applyNumberFormat="1" applyFont="1" applyFill="1" applyBorder="1" applyAlignment="1">
      <alignment horizontal="center" vertical="center"/>
    </xf>
    <xf numFmtId="43" fontId="13" fillId="0" borderId="0" xfId="3" applyFont="1" applyAlignment="1">
      <alignment vertical="center"/>
    </xf>
    <xf numFmtId="43" fontId="13" fillId="0" borderId="0" xfId="0" applyNumberFormat="1" applyFont="1" applyAlignment="1">
      <alignment vertical="center"/>
    </xf>
    <xf numFmtId="4" fontId="13" fillId="0" borderId="1" xfId="1" applyNumberFormat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" xfId="3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4" fontId="14" fillId="0" borderId="2" xfId="3" applyNumberFormat="1" applyFont="1" applyFill="1" applyBorder="1" applyAlignment="1">
      <alignment horizontal="right" vertical="center"/>
    </xf>
    <xf numFmtId="43" fontId="18" fillId="0" borderId="0" xfId="3" applyFon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5">
    <cellStyle name="Millares" xfId="3" builtinId="3"/>
    <cellStyle name="Moneda" xfId="1" builtinId="4"/>
    <cellStyle name="Normal" xfId="0" builtinId="0"/>
    <cellStyle name="Normal 3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1595437</xdr:colOff>
      <xdr:row>4</xdr:row>
      <xdr:rowOff>142875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19050" y="47625"/>
          <a:ext cx="1576387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114299</xdr:colOff>
      <xdr:row>0</xdr:row>
      <xdr:rowOff>185737</xdr:rowOff>
    </xdr:from>
    <xdr:to>
      <xdr:col>13</xdr:col>
      <xdr:colOff>1107280</xdr:colOff>
      <xdr:row>3</xdr:row>
      <xdr:rowOff>248376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1768" y="185737"/>
          <a:ext cx="992981" cy="991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456405</xdr:colOff>
      <xdr:row>98</xdr:row>
      <xdr:rowOff>154780</xdr:rowOff>
    </xdr:from>
    <xdr:to>
      <xdr:col>0</xdr:col>
      <xdr:colOff>6413500</xdr:colOff>
      <xdr:row>98</xdr:row>
      <xdr:rowOff>158750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>
          <a:off x="456405" y="22776655"/>
          <a:ext cx="5957095" cy="39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877094</xdr:colOff>
      <xdr:row>98</xdr:row>
      <xdr:rowOff>142875</xdr:rowOff>
    </xdr:from>
    <xdr:to>
      <xdr:col>13</xdr:col>
      <xdr:colOff>460374</xdr:colOff>
      <xdr:row>98</xdr:row>
      <xdr:rowOff>154782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14799469" y="22764750"/>
          <a:ext cx="6631780" cy="119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104</xdr:row>
      <xdr:rowOff>111125</xdr:rowOff>
    </xdr:from>
    <xdr:to>
      <xdr:col>7</xdr:col>
      <xdr:colOff>416720</xdr:colOff>
      <xdr:row>104</xdr:row>
      <xdr:rowOff>115095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A139B25-4268-4523-81B3-9E616EA504FB}"/>
            </a:ext>
          </a:extLst>
        </xdr:cNvPr>
        <xdr:cNvCxnSpPr/>
      </xdr:nvCxnSpPr>
      <xdr:spPr>
        <a:xfrm>
          <a:off x="8382000" y="23876000"/>
          <a:ext cx="5957095" cy="39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1"/>
  <sheetViews>
    <sheetView showGridLines="0" tabSelected="1" zoomScale="60" zoomScaleNormal="6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N4"/>
    </sheetView>
  </sheetViews>
  <sheetFormatPr baseColWidth="10" defaultColWidth="9.140625" defaultRowHeight="15" x14ac:dyDescent="0.25"/>
  <cols>
    <col min="1" max="1" width="103.140625" customWidth="1"/>
    <col min="2" max="2" width="17.7109375" style="22" customWidth="1"/>
    <col min="3" max="13" width="17.7109375" style="21" customWidth="1"/>
    <col min="14" max="14" width="23.28515625" style="22" customWidth="1"/>
    <col min="15" max="15" width="0" hidden="1" customWidth="1"/>
    <col min="16" max="16" width="14.140625" style="60" bestFit="1" customWidth="1"/>
    <col min="18" max="18" width="32.5703125" bestFit="1" customWidth="1"/>
  </cols>
  <sheetData>
    <row r="1" spans="1:18" ht="32.25" customHeight="1" x14ac:dyDescent="0.35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8" ht="20.25" x14ac:dyDescent="0.3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8" ht="20.2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8" ht="21" x14ac:dyDescent="0.35">
      <c r="A4" s="99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8" ht="15.75" thickBot="1" x14ac:dyDescent="0.3">
      <c r="A5" s="96"/>
      <c r="B5" s="96"/>
    </row>
    <row r="6" spans="1:18" s="4" customFormat="1" ht="27" customHeight="1" thickBot="1" x14ac:dyDescent="0.35">
      <c r="A6" s="55" t="s">
        <v>1</v>
      </c>
      <c r="B6" s="56" t="s">
        <v>20</v>
      </c>
      <c r="C6" s="57" t="s">
        <v>84</v>
      </c>
      <c r="D6" s="57" t="s">
        <v>86</v>
      </c>
      <c r="E6" s="57" t="s">
        <v>88</v>
      </c>
      <c r="F6" s="57" t="s">
        <v>89</v>
      </c>
      <c r="G6" s="57" t="s">
        <v>90</v>
      </c>
      <c r="H6" s="57" t="s">
        <v>91</v>
      </c>
      <c r="I6" s="57" t="s">
        <v>92</v>
      </c>
      <c r="J6" s="57" t="s">
        <v>93</v>
      </c>
      <c r="K6" s="57" t="s">
        <v>94</v>
      </c>
      <c r="L6" s="83" t="s">
        <v>128</v>
      </c>
      <c r="M6" s="83" t="s">
        <v>129</v>
      </c>
      <c r="N6" s="58" t="s">
        <v>21</v>
      </c>
      <c r="P6" s="61"/>
    </row>
    <row r="7" spans="1:18" s="13" customFormat="1" ht="20.25" customHeight="1" x14ac:dyDescent="0.25">
      <c r="A7" s="1" t="s">
        <v>2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P7" s="62"/>
    </row>
    <row r="8" spans="1:18" s="14" customFormat="1" ht="18" customHeight="1" x14ac:dyDescent="0.25">
      <c r="A8" s="5" t="s">
        <v>95</v>
      </c>
      <c r="B8" s="26">
        <f t="shared" ref="B8:L8" si="0">SUM(B9:B13)</f>
        <v>3567883.7</v>
      </c>
      <c r="C8" s="27">
        <f t="shared" si="0"/>
        <v>4017092.83</v>
      </c>
      <c r="D8" s="27">
        <f t="shared" si="0"/>
        <v>3949364.15</v>
      </c>
      <c r="E8" s="27">
        <f t="shared" si="0"/>
        <v>4166619.6399999997</v>
      </c>
      <c r="F8" s="27">
        <f t="shared" si="0"/>
        <v>6205374.8600000003</v>
      </c>
      <c r="G8" s="27">
        <f t="shared" si="0"/>
        <v>4220116.17</v>
      </c>
      <c r="H8" s="27">
        <f t="shared" si="0"/>
        <v>3878939.39</v>
      </c>
      <c r="I8" s="27">
        <f t="shared" si="0"/>
        <v>3957987.99</v>
      </c>
      <c r="J8" s="27">
        <f t="shared" si="0"/>
        <v>3940395.8899999997</v>
      </c>
      <c r="K8" s="27">
        <f t="shared" si="0"/>
        <v>6459284.1200000001</v>
      </c>
      <c r="L8" s="27">
        <f t="shared" si="0"/>
        <v>9619366.9300000016</v>
      </c>
      <c r="M8" s="27">
        <f t="shared" ref="M8" si="1">SUM(M9:M13)</f>
        <v>6662823.3300000001</v>
      </c>
      <c r="N8" s="26">
        <f t="shared" ref="N8:N13" si="2">SUM(B8:M8)</f>
        <v>60645249</v>
      </c>
      <c r="P8" s="63">
        <f>+N8/N92</f>
        <v>0.61645935217335679</v>
      </c>
      <c r="Q8" s="14" t="s">
        <v>106</v>
      </c>
    </row>
    <row r="9" spans="1:18" s="15" customFormat="1" ht="18" customHeight="1" x14ac:dyDescent="0.25">
      <c r="A9" s="6" t="s">
        <v>3</v>
      </c>
      <c r="B9" s="28">
        <v>2929600</v>
      </c>
      <c r="C9" s="29">
        <f>+'[1]Table 1'!$D$7+'[1]Table 1'!$D$31</f>
        <v>3313350.6</v>
      </c>
      <c r="D9" s="29">
        <f>1200700+1070000+92062.76+850000</f>
        <v>3212762.76</v>
      </c>
      <c r="E9" s="29">
        <v>3030033.33</v>
      </c>
      <c r="F9" s="29">
        <v>3178069.64</v>
      </c>
      <c r="G9" s="29">
        <v>3145700</v>
      </c>
      <c r="H9" s="29">
        <v>3155700</v>
      </c>
      <c r="I9" s="29">
        <f>1225700+1090000+850000</f>
        <v>3165700</v>
      </c>
      <c r="J9" s="29">
        <v>3192151.32</v>
      </c>
      <c r="K9" s="29">
        <v>2980033.33</v>
      </c>
      <c r="L9" s="29">
        <v>8767043.620000001</v>
      </c>
      <c r="M9" s="29">
        <f>2291849.05+925000</f>
        <v>3216849.05</v>
      </c>
      <c r="N9" s="28">
        <f t="shared" si="2"/>
        <v>43286993.649999991</v>
      </c>
      <c r="P9" s="64"/>
    </row>
    <row r="10" spans="1:18" s="15" customFormat="1" ht="18" customHeight="1" x14ac:dyDescent="0.25">
      <c r="A10" s="6" t="s">
        <v>4</v>
      </c>
      <c r="B10" s="28">
        <v>203000</v>
      </c>
      <c r="C10" s="29">
        <v>234000</v>
      </c>
      <c r="D10" s="29">
        <v>234000</v>
      </c>
      <c r="E10" s="29">
        <f>253000+370000</f>
        <v>623000</v>
      </c>
      <c r="F10" s="29">
        <v>2568533.33</v>
      </c>
      <c r="G10" s="29">
        <v>537177.78</v>
      </c>
      <c r="H10" s="29">
        <v>253000</v>
      </c>
      <c r="I10" s="29">
        <v>253000</v>
      </c>
      <c r="J10" s="29">
        <v>253000</v>
      </c>
      <c r="K10" s="29">
        <v>3035320.83</v>
      </c>
      <c r="L10" s="29">
        <v>346222.22</v>
      </c>
      <c r="M10" s="29">
        <v>2915311.39</v>
      </c>
      <c r="N10" s="28">
        <f t="shared" si="2"/>
        <v>11455565.550000001</v>
      </c>
      <c r="P10" s="64"/>
    </row>
    <row r="11" spans="1:18" s="15" customFormat="1" ht="18" customHeight="1" x14ac:dyDescent="0.25">
      <c r="A11" s="6" t="s">
        <v>5</v>
      </c>
      <c r="B11" s="30">
        <v>0</v>
      </c>
      <c r="C11" s="29">
        <v>28262.400000000001</v>
      </c>
      <c r="D11" s="29">
        <v>35874.92</v>
      </c>
      <c r="E11" s="29">
        <v>63000.800000000003</v>
      </c>
      <c r="F11" s="30">
        <v>0</v>
      </c>
      <c r="G11" s="29">
        <v>68528</v>
      </c>
      <c r="H11" s="30">
        <v>0</v>
      </c>
      <c r="I11" s="29">
        <v>67629.600000000006</v>
      </c>
      <c r="J11" s="29">
        <v>29756.63</v>
      </c>
      <c r="K11" s="30">
        <v>0</v>
      </c>
      <c r="L11" s="30">
        <v>31823.599999999999</v>
      </c>
      <c r="M11" s="30">
        <v>56385.4</v>
      </c>
      <c r="N11" s="28">
        <f t="shared" si="2"/>
        <v>381261.35</v>
      </c>
      <c r="P11" s="64"/>
    </row>
    <row r="12" spans="1:18" s="15" customFormat="1" ht="18" customHeight="1" x14ac:dyDescent="0.25">
      <c r="A12" s="6" t="s">
        <v>43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f t="shared" si="2"/>
        <v>0</v>
      </c>
      <c r="P12" s="64"/>
      <c r="R12" s="68">
        <f>+P8+Q14+P15+P34</f>
        <v>0.96763688630595523</v>
      </c>
    </row>
    <row r="13" spans="1:18" s="15" customFormat="1" ht="18" customHeight="1" x14ac:dyDescent="0.25">
      <c r="A13" s="6" t="s">
        <v>6</v>
      </c>
      <c r="B13" s="28">
        <v>435283.7</v>
      </c>
      <c r="C13" s="29">
        <v>441479.83</v>
      </c>
      <c r="D13" s="29">
        <f>156391.23+162436.91+20625.03+60265+60350+6658.3</f>
        <v>466726.47000000003</v>
      </c>
      <c r="E13" s="29">
        <v>450585.50999999995</v>
      </c>
      <c r="F13" s="29">
        <v>458771.89</v>
      </c>
      <c r="G13" s="29">
        <v>468710.39</v>
      </c>
      <c r="H13" s="29">
        <v>470239.39</v>
      </c>
      <c r="I13" s="29">
        <v>471658.38999999996</v>
      </c>
      <c r="J13" s="29">
        <v>465487.94</v>
      </c>
      <c r="K13" s="29">
        <v>443929.95999999996</v>
      </c>
      <c r="L13" s="29">
        <v>474277.49</v>
      </c>
      <c r="M13" s="29">
        <f>335536.69+138740.8</f>
        <v>474277.49</v>
      </c>
      <c r="N13" s="28">
        <f t="shared" si="2"/>
        <v>5521428.4500000011</v>
      </c>
      <c r="P13" s="64"/>
    </row>
    <row r="14" spans="1:18" s="14" customFormat="1" ht="18" customHeight="1" x14ac:dyDescent="0.25">
      <c r="A14" s="5" t="s">
        <v>96</v>
      </c>
      <c r="B14" s="31">
        <f t="shared" ref="B14:L14" si="3">SUM(B15:B23)</f>
        <v>174073.72</v>
      </c>
      <c r="C14" s="31">
        <f t="shared" si="3"/>
        <v>3589440.75</v>
      </c>
      <c r="D14" s="31">
        <f t="shared" si="3"/>
        <v>2320736.3499999996</v>
      </c>
      <c r="E14" s="31">
        <f t="shared" si="3"/>
        <v>2084960.9299999997</v>
      </c>
      <c r="F14" s="31">
        <f t="shared" si="3"/>
        <v>2536450.5100000002</v>
      </c>
      <c r="G14" s="31">
        <f t="shared" si="3"/>
        <v>2951855.1500000004</v>
      </c>
      <c r="H14" s="31">
        <f t="shared" si="3"/>
        <v>2070463.54</v>
      </c>
      <c r="I14" s="32">
        <f t="shared" si="3"/>
        <v>3361888.1599999997</v>
      </c>
      <c r="J14" s="32">
        <f t="shared" si="3"/>
        <v>1839642.08</v>
      </c>
      <c r="K14" s="32">
        <f t="shared" si="3"/>
        <v>3231232.15</v>
      </c>
      <c r="L14" s="32">
        <f t="shared" si="3"/>
        <v>2107999.62</v>
      </c>
      <c r="M14" s="32">
        <f t="shared" ref="M14" si="4">SUM(M15:M23)</f>
        <v>3024530.4899999998</v>
      </c>
      <c r="N14" s="31">
        <f>SUM(B14:L14)</f>
        <v>26268742.959999997</v>
      </c>
      <c r="P14" s="63">
        <f>+N14/N92</f>
        <v>0.26702194375572647</v>
      </c>
      <c r="Q14" s="67">
        <f>+P14-P15+P24+P52</f>
        <v>0.31412556386141277</v>
      </c>
      <c r="R14" s="14" t="s">
        <v>108</v>
      </c>
    </row>
    <row r="15" spans="1:18" s="15" customFormat="1" ht="18" customHeight="1" x14ac:dyDescent="0.25">
      <c r="A15" s="6" t="s">
        <v>7</v>
      </c>
      <c r="B15" s="28">
        <v>85704.45</v>
      </c>
      <c r="C15" s="29">
        <f>+'[1]Table 1'!$D$11</f>
        <v>259514.87</v>
      </c>
      <c r="D15" s="29">
        <f>124383.42+67475.57+69331.87</f>
        <v>261190.86</v>
      </c>
      <c r="E15" s="29">
        <v>156046.20000000001</v>
      </c>
      <c r="F15" s="29">
        <v>313785.39</v>
      </c>
      <c r="G15" s="29">
        <v>243153.05000000002</v>
      </c>
      <c r="H15" s="29">
        <v>399694.66</v>
      </c>
      <c r="I15" s="29">
        <v>251244.75</v>
      </c>
      <c r="J15" s="29">
        <v>88422.07</v>
      </c>
      <c r="K15" s="29">
        <v>659027.78999999992</v>
      </c>
      <c r="L15" s="29">
        <v>309247.71000000002</v>
      </c>
      <c r="M15" s="29">
        <v>244895.04</v>
      </c>
      <c r="N15" s="28">
        <f t="shared" ref="N15:N23" si="5">SUM(B15:M15)</f>
        <v>3271926.84</v>
      </c>
      <c r="P15" s="64">
        <f>+N15/N92</f>
        <v>3.3259157698322224E-2</v>
      </c>
      <c r="Q15" s="15" t="s">
        <v>107</v>
      </c>
    </row>
    <row r="16" spans="1:18" s="15" customFormat="1" ht="18" customHeight="1" x14ac:dyDescent="0.25">
      <c r="A16" s="6" t="s">
        <v>8</v>
      </c>
      <c r="B16" s="30">
        <v>0</v>
      </c>
      <c r="C16" s="29">
        <v>135000</v>
      </c>
      <c r="D16" s="30">
        <v>0</v>
      </c>
      <c r="E16" s="29">
        <v>29361.24</v>
      </c>
      <c r="F16" s="29">
        <v>48702.37</v>
      </c>
      <c r="G16" s="29">
        <v>9787.08</v>
      </c>
      <c r="H16" s="29">
        <v>29070.14</v>
      </c>
      <c r="I16" s="29">
        <v>150097.07999999999</v>
      </c>
      <c r="J16" s="29">
        <v>144787.07999999999</v>
      </c>
      <c r="K16" s="29">
        <v>158357.07999999999</v>
      </c>
      <c r="L16" s="29">
        <v>280849.41000000003</v>
      </c>
      <c r="M16" s="29">
        <f>9787.08+2832</f>
        <v>12619.08</v>
      </c>
      <c r="N16" s="28">
        <f t="shared" si="5"/>
        <v>998630.55999999982</v>
      </c>
      <c r="P16" s="64"/>
    </row>
    <row r="17" spans="1:18" s="15" customFormat="1" ht="18" customHeight="1" x14ac:dyDescent="0.25">
      <c r="A17" s="6" t="s">
        <v>9</v>
      </c>
      <c r="B17" s="30">
        <v>0</v>
      </c>
      <c r="C17" s="29">
        <f>+'[1]Table 1'!$D$13</f>
        <v>72935.94</v>
      </c>
      <c r="D17" s="29">
        <v>17900</v>
      </c>
      <c r="E17" s="30">
        <v>0</v>
      </c>
      <c r="F17" s="29">
        <v>14750</v>
      </c>
      <c r="G17" s="30">
        <v>0</v>
      </c>
      <c r="H17" s="29">
        <v>63450</v>
      </c>
      <c r="I17" s="29">
        <v>261989.28</v>
      </c>
      <c r="J17" s="29">
        <v>47050</v>
      </c>
      <c r="K17" s="29">
        <v>39916.5</v>
      </c>
      <c r="L17" s="29">
        <v>64690</v>
      </c>
      <c r="M17" s="29">
        <v>39150</v>
      </c>
      <c r="N17" s="28">
        <f t="shared" si="5"/>
        <v>621831.72</v>
      </c>
      <c r="P17" s="64"/>
    </row>
    <row r="18" spans="1:18" s="15" customFormat="1" ht="18" customHeight="1" x14ac:dyDescent="0.25">
      <c r="A18" s="6" t="s">
        <v>10</v>
      </c>
      <c r="B18" s="30">
        <v>0</v>
      </c>
      <c r="C18" s="29">
        <f>+'[1]Table 1'!$D$14</f>
        <v>57835.55</v>
      </c>
      <c r="D18" s="30">
        <v>0</v>
      </c>
      <c r="E18" s="30">
        <v>0</v>
      </c>
      <c r="F18" s="29">
        <v>10371.9</v>
      </c>
      <c r="G18" s="30">
        <v>0</v>
      </c>
      <c r="H18" s="29">
        <v>2823.79</v>
      </c>
      <c r="I18" s="29">
        <v>139932</v>
      </c>
      <c r="J18" s="29">
        <v>11388.16</v>
      </c>
      <c r="K18" s="30">
        <v>0</v>
      </c>
      <c r="L18" s="30">
        <v>11339.7</v>
      </c>
      <c r="M18" s="30">
        <v>0</v>
      </c>
      <c r="N18" s="86">
        <f t="shared" si="5"/>
        <v>233691.1</v>
      </c>
      <c r="P18" s="64"/>
    </row>
    <row r="19" spans="1:18" s="15" customFormat="1" ht="18" customHeight="1" x14ac:dyDescent="0.25">
      <c r="A19" s="6" t="s">
        <v>11</v>
      </c>
      <c r="B19" s="30">
        <v>0</v>
      </c>
      <c r="C19" s="29">
        <v>1858807.96</v>
      </c>
      <c r="D19" s="29">
        <f>816359.24+27718.2+52657.5</f>
        <v>896734.94</v>
      </c>
      <c r="E19" s="29">
        <v>895266.65999999992</v>
      </c>
      <c r="F19" s="29">
        <v>895266.66</v>
      </c>
      <c r="G19" s="29">
        <v>895266.65999999992</v>
      </c>
      <c r="H19" s="29">
        <v>897899.52999999991</v>
      </c>
      <c r="I19" s="29">
        <v>892026.44</v>
      </c>
      <c r="J19" s="29">
        <v>852562.07</v>
      </c>
      <c r="K19" s="29">
        <v>855644.64</v>
      </c>
      <c r="L19" s="29">
        <v>938507.17999999993</v>
      </c>
      <c r="M19" s="29">
        <f>810486.15+27718.2+55290.37</f>
        <v>893494.72</v>
      </c>
      <c r="N19" s="86">
        <f t="shared" si="5"/>
        <v>10771477.460000001</v>
      </c>
      <c r="P19" s="64"/>
    </row>
    <row r="20" spans="1:18" s="15" customFormat="1" ht="18" customHeight="1" x14ac:dyDescent="0.25">
      <c r="A20" s="6" t="s">
        <v>12</v>
      </c>
      <c r="B20" s="28">
        <v>88369.27</v>
      </c>
      <c r="C20" s="29">
        <f>+'[1]Table 1'!$D$16</f>
        <v>97808.83</v>
      </c>
      <c r="D20" s="29">
        <v>86628.99</v>
      </c>
      <c r="E20" s="29">
        <v>93103.98</v>
      </c>
      <c r="F20" s="29">
        <v>96696.03</v>
      </c>
      <c r="G20" s="29">
        <v>466183.57</v>
      </c>
      <c r="H20" s="29">
        <v>96249.11</v>
      </c>
      <c r="I20" s="29">
        <v>105348.81999999999</v>
      </c>
      <c r="J20" s="29">
        <v>101232.8</v>
      </c>
      <c r="K20" s="29">
        <v>290354.07</v>
      </c>
      <c r="L20" s="29">
        <v>101099.49</v>
      </c>
      <c r="M20" s="29">
        <v>82183.990000000005</v>
      </c>
      <c r="N20" s="86">
        <f t="shared" si="5"/>
        <v>1705258.95</v>
      </c>
      <c r="P20" s="64"/>
    </row>
    <row r="21" spans="1:18" s="15" customFormat="1" x14ac:dyDescent="0.25">
      <c r="A21" s="6" t="s">
        <v>105</v>
      </c>
      <c r="B21" s="30">
        <v>0</v>
      </c>
      <c r="C21" s="29">
        <v>167770.06</v>
      </c>
      <c r="D21" s="29">
        <f>10975.89+64900</f>
        <v>75875.89</v>
      </c>
      <c r="E21" s="29">
        <v>64900</v>
      </c>
      <c r="F21" s="29">
        <v>79397.179999999993</v>
      </c>
      <c r="G21" s="29">
        <v>192603.78999999998</v>
      </c>
      <c r="H21" s="29">
        <v>83236.990000000005</v>
      </c>
      <c r="I21" s="29">
        <v>101357.4</v>
      </c>
      <c r="J21" s="29">
        <v>180767.4</v>
      </c>
      <c r="K21" s="29">
        <v>87003.51</v>
      </c>
      <c r="L21" s="29">
        <v>78157.67</v>
      </c>
      <c r="M21" s="29">
        <v>90952.27</v>
      </c>
      <c r="N21" s="86">
        <f t="shared" si="5"/>
        <v>1202022.1599999999</v>
      </c>
      <c r="P21" s="64"/>
    </row>
    <row r="22" spans="1:18" s="15" customFormat="1" ht="18" customHeight="1" x14ac:dyDescent="0.25">
      <c r="A22" s="6" t="s">
        <v>13</v>
      </c>
      <c r="B22" s="30">
        <v>0</v>
      </c>
      <c r="C22" s="29">
        <f>+'[1]Table 1'!$D$18</f>
        <v>623712.4</v>
      </c>
      <c r="D22" s="29">
        <f>146200+822783.17</f>
        <v>968983.17</v>
      </c>
      <c r="E22" s="29">
        <v>386074</v>
      </c>
      <c r="F22" s="29">
        <v>998186.34</v>
      </c>
      <c r="G22" s="29">
        <v>853015</v>
      </c>
      <c r="H22" s="29">
        <v>191050.75999999998</v>
      </c>
      <c r="I22" s="29">
        <f>1125202.05+50000</f>
        <v>1175202.05</v>
      </c>
      <c r="J22" s="29">
        <v>96979.86</v>
      </c>
      <c r="K22" s="29">
        <f>138630.6+762850</f>
        <v>901480.6</v>
      </c>
      <c r="L22" s="29">
        <v>41380.82</v>
      </c>
      <c r="M22" s="29">
        <f>346.11+913199.44</f>
        <v>913545.54999999993</v>
      </c>
      <c r="N22" s="86">
        <f t="shared" si="5"/>
        <v>7149610.5499999998</v>
      </c>
      <c r="P22" s="93"/>
      <c r="Q22" s="93"/>
      <c r="R22" s="85">
        <f>+N22-P22</f>
        <v>7149610.5499999998</v>
      </c>
    </row>
    <row r="23" spans="1:18" s="15" customFormat="1" ht="18" customHeight="1" x14ac:dyDescent="0.25">
      <c r="A23" s="6" t="s">
        <v>42</v>
      </c>
      <c r="B23" s="30">
        <v>0</v>
      </c>
      <c r="C23" s="29">
        <f>+'[1]Table 1'!$D$19</f>
        <v>316055.14</v>
      </c>
      <c r="D23" s="29">
        <v>13422.5</v>
      </c>
      <c r="E23" s="29">
        <v>460208.85</v>
      </c>
      <c r="F23" s="29">
        <v>79294.64</v>
      </c>
      <c r="G23" s="29">
        <v>291846</v>
      </c>
      <c r="H23" s="29">
        <v>306988.56</v>
      </c>
      <c r="I23" s="29">
        <v>284690.34000000003</v>
      </c>
      <c r="J23" s="29">
        <v>316452.64</v>
      </c>
      <c r="K23" s="29">
        <v>239447.96</v>
      </c>
      <c r="L23" s="29">
        <v>282727.64</v>
      </c>
      <c r="M23" s="29">
        <v>747689.84</v>
      </c>
      <c r="N23" s="86">
        <f t="shared" si="5"/>
        <v>3338824.11</v>
      </c>
      <c r="P23" s="64"/>
    </row>
    <row r="24" spans="1:18" s="14" customFormat="1" ht="18" customHeight="1" x14ac:dyDescent="0.25">
      <c r="A24" s="5" t="s">
        <v>97</v>
      </c>
      <c r="B24" s="33">
        <f>SUM(B25:B32)</f>
        <v>0</v>
      </c>
      <c r="C24" s="32">
        <f t="shared" ref="C24:L24" si="6">SUM(C25:C33)</f>
        <v>1120855.68</v>
      </c>
      <c r="D24" s="32">
        <f t="shared" si="6"/>
        <v>143384.1</v>
      </c>
      <c r="E24" s="32">
        <f t="shared" si="6"/>
        <v>1061118.04</v>
      </c>
      <c r="F24" s="32">
        <f t="shared" si="6"/>
        <v>47912.9</v>
      </c>
      <c r="G24" s="32">
        <f t="shared" si="6"/>
        <v>66085.53</v>
      </c>
      <c r="H24" s="32">
        <f t="shared" si="6"/>
        <v>1231894.73</v>
      </c>
      <c r="I24" s="32">
        <f t="shared" si="6"/>
        <v>71716.539999999994</v>
      </c>
      <c r="J24" s="32">
        <f t="shared" si="6"/>
        <v>138879.51999999999</v>
      </c>
      <c r="K24" s="32">
        <f t="shared" si="6"/>
        <v>1265006.8700000001</v>
      </c>
      <c r="L24" s="32">
        <f t="shared" si="6"/>
        <v>118659.61</v>
      </c>
      <c r="M24" s="32">
        <f t="shared" ref="M24" si="7">SUM(M25:M33)</f>
        <v>159246.48000000001</v>
      </c>
      <c r="N24" s="87">
        <f>SUM(B24:L24)</f>
        <v>5265513.5200000005</v>
      </c>
      <c r="P24" s="63">
        <f>+N24/N92</f>
        <v>5.3523979321104809E-2</v>
      </c>
      <c r="Q24" s="14" t="s">
        <v>109</v>
      </c>
    </row>
    <row r="25" spans="1:18" s="15" customFormat="1" ht="18" customHeight="1" x14ac:dyDescent="0.25">
      <c r="A25" s="6" t="s">
        <v>14</v>
      </c>
      <c r="B25" s="30">
        <v>0</v>
      </c>
      <c r="C25" s="29">
        <f>+'[1]Table 1'!$D$20</f>
        <v>26607</v>
      </c>
      <c r="D25" s="29">
        <v>10620</v>
      </c>
      <c r="E25" s="29">
        <v>20706.169999999998</v>
      </c>
      <c r="F25" s="29">
        <v>34049.980000000003</v>
      </c>
      <c r="G25" s="29">
        <v>11800</v>
      </c>
      <c r="H25" s="29">
        <v>44440.67</v>
      </c>
      <c r="I25" s="30">
        <v>0</v>
      </c>
      <c r="J25" s="29">
        <v>10524.77</v>
      </c>
      <c r="K25" s="29">
        <v>49590.38</v>
      </c>
      <c r="L25" s="29">
        <v>32180.76</v>
      </c>
      <c r="M25" s="29">
        <v>0</v>
      </c>
      <c r="N25" s="86">
        <f>SUM(B25:M25)</f>
        <v>240519.73</v>
      </c>
      <c r="P25" s="64"/>
    </row>
    <row r="26" spans="1:18" s="15" customFormat="1" ht="18" customHeight="1" x14ac:dyDescent="0.25">
      <c r="A26" s="6" t="s">
        <v>22</v>
      </c>
      <c r="B26" s="30">
        <v>0</v>
      </c>
      <c r="C26" s="29">
        <f>+'[1]Table 1'!$D$21</f>
        <v>28320</v>
      </c>
      <c r="D26" s="30">
        <v>0</v>
      </c>
      <c r="E26" s="29">
        <v>76228</v>
      </c>
      <c r="F26" s="30">
        <v>0</v>
      </c>
      <c r="G26" s="30">
        <v>0</v>
      </c>
      <c r="H26" s="29">
        <v>23777</v>
      </c>
      <c r="I26" s="29">
        <v>71716.539999999994</v>
      </c>
      <c r="J26" s="29">
        <v>46256</v>
      </c>
      <c r="K26" s="29">
        <v>59118</v>
      </c>
      <c r="L26" s="29">
        <v>0</v>
      </c>
      <c r="M26" s="29">
        <v>0</v>
      </c>
      <c r="N26" s="86">
        <f>SUM(C26:M26)</f>
        <v>305415.53999999998</v>
      </c>
      <c r="P26" s="64"/>
    </row>
    <row r="27" spans="1:18" s="15" customFormat="1" ht="18" customHeight="1" x14ac:dyDescent="0.25">
      <c r="A27" s="6" t="s">
        <v>16</v>
      </c>
      <c r="B27" s="30">
        <v>0</v>
      </c>
      <c r="C27" s="29">
        <f>+'[1]Table 1'!$D$22</f>
        <v>10480.76</v>
      </c>
      <c r="D27" s="29">
        <v>12106.8</v>
      </c>
      <c r="E27" s="29">
        <v>39527.43</v>
      </c>
      <c r="F27" s="30">
        <v>0</v>
      </c>
      <c r="G27" s="30">
        <v>0</v>
      </c>
      <c r="H27" s="29">
        <v>61583.43</v>
      </c>
      <c r="I27" s="30">
        <v>0</v>
      </c>
      <c r="J27" s="30">
        <v>0</v>
      </c>
      <c r="K27" s="29">
        <v>67619.31</v>
      </c>
      <c r="L27" s="29">
        <v>77880</v>
      </c>
      <c r="M27" s="29">
        <v>0</v>
      </c>
      <c r="N27" s="86">
        <f t="shared" ref="N27:N35" si="8">SUM(B27:M27)</f>
        <v>269197.73</v>
      </c>
      <c r="P27" s="64"/>
    </row>
    <row r="28" spans="1:18" s="15" customFormat="1" ht="18" customHeight="1" x14ac:dyDescent="0.25">
      <c r="A28" s="6" t="s">
        <v>23</v>
      </c>
      <c r="B28" s="30">
        <v>0</v>
      </c>
      <c r="C28" s="30">
        <v>0</v>
      </c>
      <c r="D28" s="29">
        <v>12910.8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485.4</v>
      </c>
      <c r="K28" s="29">
        <v>3702.15</v>
      </c>
      <c r="L28" s="29">
        <v>252</v>
      </c>
      <c r="M28" s="29">
        <v>0</v>
      </c>
      <c r="N28" s="86">
        <f t="shared" si="8"/>
        <v>17350.349999999999</v>
      </c>
      <c r="P28" s="64"/>
    </row>
    <row r="29" spans="1:18" s="15" customFormat="1" ht="18" customHeight="1" x14ac:dyDescent="0.25">
      <c r="A29" s="6" t="s">
        <v>18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29">
        <v>76810.45</v>
      </c>
      <c r="K29" s="30">
        <v>0</v>
      </c>
      <c r="L29" s="30">
        <v>0</v>
      </c>
      <c r="M29" s="30">
        <v>0</v>
      </c>
      <c r="N29" s="86">
        <f t="shared" si="8"/>
        <v>76810.45</v>
      </c>
      <c r="P29" s="64"/>
    </row>
    <row r="30" spans="1:18" s="15" customFormat="1" ht="18" customHeight="1" x14ac:dyDescent="0.25">
      <c r="A30" s="6" t="s">
        <v>44</v>
      </c>
      <c r="B30" s="30">
        <v>0</v>
      </c>
      <c r="C30" s="30">
        <v>0</v>
      </c>
      <c r="D30" s="30">
        <v>0</v>
      </c>
      <c r="E30" s="34">
        <v>0</v>
      </c>
      <c r="F30" s="34">
        <v>0</v>
      </c>
      <c r="G30" s="34">
        <v>0</v>
      </c>
      <c r="H30" s="34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88">
        <f t="shared" si="8"/>
        <v>0</v>
      </c>
      <c r="P30" s="64"/>
    </row>
    <row r="31" spans="1:18" s="15" customFormat="1" ht="18" customHeight="1" x14ac:dyDescent="0.25">
      <c r="A31" s="6" t="s">
        <v>24</v>
      </c>
      <c r="B31" s="30">
        <v>0</v>
      </c>
      <c r="C31" s="29">
        <v>900000</v>
      </c>
      <c r="D31" s="30">
        <v>0</v>
      </c>
      <c r="E31" s="29">
        <v>900000</v>
      </c>
      <c r="F31" s="29">
        <v>0</v>
      </c>
      <c r="G31" s="29">
        <v>0</v>
      </c>
      <c r="H31" s="29">
        <v>900000</v>
      </c>
      <c r="I31" s="30">
        <v>0</v>
      </c>
      <c r="J31" s="30">
        <v>0</v>
      </c>
      <c r="K31" s="29">
        <v>900000</v>
      </c>
      <c r="L31" s="29">
        <v>0</v>
      </c>
      <c r="M31" s="29">
        <v>150000</v>
      </c>
      <c r="N31" s="86">
        <f t="shared" si="8"/>
        <v>3750000</v>
      </c>
      <c r="P31" s="64"/>
    </row>
    <row r="32" spans="1:18" s="15" customFormat="1" ht="24" customHeight="1" x14ac:dyDescent="0.25">
      <c r="A32" s="6" t="s">
        <v>45</v>
      </c>
      <c r="B32" s="30">
        <v>0</v>
      </c>
      <c r="C32" s="30">
        <v>0</v>
      </c>
      <c r="D32" s="30">
        <v>0</v>
      </c>
      <c r="E32" s="34">
        <v>0</v>
      </c>
      <c r="F32" s="34">
        <v>0</v>
      </c>
      <c r="G32" s="34">
        <v>0</v>
      </c>
      <c r="H32" s="34">
        <v>0</v>
      </c>
      <c r="I32" s="30">
        <v>0</v>
      </c>
      <c r="J32" s="34">
        <v>0</v>
      </c>
      <c r="K32" s="34">
        <v>0</v>
      </c>
      <c r="L32" s="34">
        <v>0</v>
      </c>
      <c r="M32" s="34">
        <v>0</v>
      </c>
      <c r="N32" s="88">
        <f t="shared" si="8"/>
        <v>0</v>
      </c>
      <c r="P32" s="64"/>
    </row>
    <row r="33" spans="1:16" s="15" customFormat="1" ht="18" customHeight="1" x14ac:dyDescent="0.25">
      <c r="A33" s="6" t="s">
        <v>15</v>
      </c>
      <c r="B33" s="30">
        <v>0</v>
      </c>
      <c r="C33" s="29">
        <f>+'[1]Table 1'!$D$26</f>
        <v>155447.92000000001</v>
      </c>
      <c r="D33" s="29">
        <f>20653.3+62148+13735.2+11210</f>
        <v>107746.5</v>
      </c>
      <c r="E33" s="35">
        <v>24656.44</v>
      </c>
      <c r="F33" s="35">
        <v>13862.92</v>
      </c>
      <c r="G33" s="35">
        <v>54285.53</v>
      </c>
      <c r="H33" s="35">
        <v>202093.63</v>
      </c>
      <c r="I33" s="30">
        <v>0</v>
      </c>
      <c r="J33" s="35">
        <v>4802.8999999999996</v>
      </c>
      <c r="K33" s="35">
        <v>184977.03000000003</v>
      </c>
      <c r="L33" s="35">
        <v>8346.85</v>
      </c>
      <c r="M33" s="35">
        <v>9246.48</v>
      </c>
      <c r="N33" s="89">
        <f t="shared" si="8"/>
        <v>765466.20000000007</v>
      </c>
      <c r="P33" s="64"/>
    </row>
    <row r="34" spans="1:16" s="14" customFormat="1" ht="18" customHeight="1" x14ac:dyDescent="0.25">
      <c r="A34" s="5" t="s">
        <v>98</v>
      </c>
      <c r="B34" s="33">
        <f t="shared" ref="B34:L34" si="9">SUM(B35:B43)</f>
        <v>0</v>
      </c>
      <c r="C34" s="32">
        <f t="shared" si="9"/>
        <v>71498.34</v>
      </c>
      <c r="D34" s="32">
        <f t="shared" si="9"/>
        <v>255226.91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46399.21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ref="M34" si="10">SUM(M35:M43)</f>
        <v>0</v>
      </c>
      <c r="N34" s="87">
        <f t="shared" si="8"/>
        <v>373124.46</v>
      </c>
      <c r="P34" s="69">
        <f>+N34/N92</f>
        <v>3.7928125728634338E-3</v>
      </c>
    </row>
    <row r="35" spans="1:16" s="15" customFormat="1" ht="18" customHeight="1" x14ac:dyDescent="0.25">
      <c r="A35" s="6" t="s">
        <v>25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88">
        <f t="shared" si="8"/>
        <v>0</v>
      </c>
      <c r="P35" s="64"/>
    </row>
    <row r="36" spans="1:16" s="16" customFormat="1" ht="18" customHeight="1" x14ac:dyDescent="0.25">
      <c r="A36" s="6" t="s">
        <v>46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88">
        <f t="shared" ref="N36:N40" si="11">SUM(B36:M36)</f>
        <v>0</v>
      </c>
      <c r="P36" s="65"/>
    </row>
    <row r="37" spans="1:16" s="16" customFormat="1" ht="18" customHeight="1" x14ac:dyDescent="0.25">
      <c r="A37" s="6" t="s">
        <v>47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88">
        <f t="shared" si="11"/>
        <v>0</v>
      </c>
      <c r="P37" s="65"/>
    </row>
    <row r="38" spans="1:16" s="16" customFormat="1" ht="18" customHeight="1" x14ac:dyDescent="0.25">
      <c r="A38" s="6" t="s">
        <v>48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88">
        <f t="shared" si="11"/>
        <v>0</v>
      </c>
      <c r="P38" s="65"/>
    </row>
    <row r="39" spans="1:16" s="16" customFormat="1" ht="30.75" customHeight="1" x14ac:dyDescent="0.25">
      <c r="A39" s="6" t="s">
        <v>49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88">
        <f t="shared" si="11"/>
        <v>0</v>
      </c>
      <c r="P39" s="65"/>
    </row>
    <row r="40" spans="1:16" s="16" customFormat="1" ht="18" customHeight="1" x14ac:dyDescent="0.25">
      <c r="A40" s="8" t="s">
        <v>50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88">
        <f t="shared" si="11"/>
        <v>0</v>
      </c>
      <c r="P40" s="65"/>
    </row>
    <row r="41" spans="1:16" s="15" customFormat="1" ht="18" customHeight="1" x14ac:dyDescent="0.25">
      <c r="A41" s="8" t="s">
        <v>26</v>
      </c>
      <c r="B41" s="30">
        <v>0</v>
      </c>
      <c r="C41" s="29">
        <v>71498.34</v>
      </c>
      <c r="D41" s="29">
        <v>255226.91</v>
      </c>
      <c r="E41" s="30">
        <v>0</v>
      </c>
      <c r="F41" s="30">
        <v>0</v>
      </c>
      <c r="G41" s="30">
        <v>0</v>
      </c>
      <c r="H41" s="30">
        <v>0</v>
      </c>
      <c r="I41" s="29">
        <v>46399.21</v>
      </c>
      <c r="J41" s="30">
        <v>0</v>
      </c>
      <c r="K41" s="30">
        <v>0</v>
      </c>
      <c r="L41" s="30">
        <v>0</v>
      </c>
      <c r="M41" s="30">
        <v>0</v>
      </c>
      <c r="N41" s="89">
        <f>SUM(B41:M41)</f>
        <v>373124.46</v>
      </c>
      <c r="P41" s="64"/>
    </row>
    <row r="42" spans="1:16" s="15" customFormat="1" ht="18" customHeight="1" x14ac:dyDescent="0.25">
      <c r="A42" s="6" t="s">
        <v>51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88">
        <f t="shared" ref="N42:N51" si="12">SUM(B42:L42)</f>
        <v>0</v>
      </c>
      <c r="P42" s="64"/>
    </row>
    <row r="43" spans="1:16" s="15" customFormat="1" ht="18" customHeight="1" x14ac:dyDescent="0.25">
      <c r="A43" s="6" t="s">
        <v>52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88">
        <f t="shared" si="12"/>
        <v>0</v>
      </c>
      <c r="P43" s="64"/>
    </row>
    <row r="44" spans="1:16" s="15" customFormat="1" ht="18" customHeight="1" x14ac:dyDescent="0.25">
      <c r="A44" s="5" t="s">
        <v>99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90">
        <f t="shared" si="12"/>
        <v>0</v>
      </c>
      <c r="P44" s="64"/>
    </row>
    <row r="45" spans="1:16" s="15" customFormat="1" ht="18" customHeight="1" x14ac:dyDescent="0.25">
      <c r="A45" s="6" t="s">
        <v>53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88">
        <f t="shared" si="12"/>
        <v>0</v>
      </c>
      <c r="P45" s="64"/>
    </row>
    <row r="46" spans="1:16" s="15" customFormat="1" ht="18" customHeight="1" x14ac:dyDescent="0.25">
      <c r="A46" s="6" t="s">
        <v>54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88">
        <f t="shared" si="12"/>
        <v>0</v>
      </c>
      <c r="P46" s="64"/>
    </row>
    <row r="47" spans="1:16" s="15" customFormat="1" ht="18" customHeight="1" x14ac:dyDescent="0.25">
      <c r="A47" s="6" t="s">
        <v>55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88">
        <f t="shared" si="12"/>
        <v>0</v>
      </c>
      <c r="P47" s="64"/>
    </row>
    <row r="48" spans="1:16" s="15" customFormat="1" ht="18" customHeight="1" x14ac:dyDescent="0.25">
      <c r="A48" s="6" t="s">
        <v>56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88">
        <f t="shared" si="12"/>
        <v>0</v>
      </c>
      <c r="P48" s="64"/>
    </row>
    <row r="49" spans="1:17" s="15" customFormat="1" ht="27" customHeight="1" x14ac:dyDescent="0.25">
      <c r="A49" s="6" t="s">
        <v>57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88">
        <f t="shared" si="12"/>
        <v>0</v>
      </c>
      <c r="P49" s="64"/>
    </row>
    <row r="50" spans="1:17" s="15" customFormat="1" ht="18" customHeight="1" x14ac:dyDescent="0.25">
      <c r="A50" s="6" t="s">
        <v>58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88">
        <f t="shared" si="12"/>
        <v>0</v>
      </c>
      <c r="P50" s="64"/>
    </row>
    <row r="51" spans="1:17" s="15" customFormat="1" ht="18" customHeight="1" x14ac:dyDescent="0.25">
      <c r="A51" s="9" t="s">
        <v>59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91">
        <f t="shared" si="12"/>
        <v>0</v>
      </c>
      <c r="P51" s="64"/>
    </row>
    <row r="52" spans="1:17" s="14" customFormat="1" ht="18" customHeight="1" x14ac:dyDescent="0.25">
      <c r="A52" s="10" t="s">
        <v>100</v>
      </c>
      <c r="B52" s="37">
        <f>SUM(B53:B63)</f>
        <v>0</v>
      </c>
      <c r="C52" s="37">
        <f t="shared" ref="C52:L52" si="13">SUM(C53:C63)</f>
        <v>0</v>
      </c>
      <c r="D52" s="27">
        <f t="shared" si="13"/>
        <v>585000</v>
      </c>
      <c r="E52" s="37">
        <v>0</v>
      </c>
      <c r="F52" s="27">
        <f t="shared" si="13"/>
        <v>65880</v>
      </c>
      <c r="G52" s="27">
        <f t="shared" si="13"/>
        <v>153700</v>
      </c>
      <c r="H52" s="27">
        <f t="shared" si="13"/>
        <v>1300</v>
      </c>
      <c r="I52" s="27">
        <f t="shared" si="13"/>
        <v>9449.99</v>
      </c>
      <c r="J52" s="27">
        <f t="shared" si="13"/>
        <v>1755000.01</v>
      </c>
      <c r="K52" s="27">
        <f t="shared" si="13"/>
        <v>63428</v>
      </c>
      <c r="L52" s="27">
        <f t="shared" si="13"/>
        <v>6554.96</v>
      </c>
      <c r="M52" s="27">
        <f t="shared" ref="M52" si="14">SUM(M53:M63)</f>
        <v>0</v>
      </c>
      <c r="N52" s="92">
        <f>SUM(B52:M52)</f>
        <v>2640312.96</v>
      </c>
      <c r="P52" s="63">
        <f>+N52/N92</f>
        <v>2.6838798482903718E-2</v>
      </c>
      <c r="Q52" s="14" t="s">
        <v>110</v>
      </c>
    </row>
    <row r="53" spans="1:17" s="15" customFormat="1" ht="18" customHeight="1" x14ac:dyDescent="0.25">
      <c r="A53" s="8" t="s">
        <v>27</v>
      </c>
      <c r="B53" s="30">
        <v>0</v>
      </c>
      <c r="C53" s="30">
        <v>0</v>
      </c>
      <c r="D53" s="30">
        <v>0</v>
      </c>
      <c r="E53" s="30">
        <v>0</v>
      </c>
      <c r="F53" s="29">
        <v>65880</v>
      </c>
      <c r="G53" s="29">
        <v>153700</v>
      </c>
      <c r="H53" s="30">
        <v>0</v>
      </c>
      <c r="I53" s="29">
        <v>9449.99</v>
      </c>
      <c r="J53" s="30">
        <v>0</v>
      </c>
      <c r="K53" s="29">
        <v>58000</v>
      </c>
      <c r="L53" s="29">
        <v>6554.96</v>
      </c>
      <c r="M53" s="29">
        <v>0</v>
      </c>
      <c r="N53" s="89">
        <f>SUM(B53:M53)</f>
        <v>293584.95</v>
      </c>
      <c r="P53" s="84"/>
    </row>
    <row r="54" spans="1:17" s="15" customFormat="1" ht="18" customHeight="1" x14ac:dyDescent="0.25">
      <c r="A54" s="8" t="s">
        <v>28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29">
        <v>1300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89">
        <f t="shared" ref="N54:N63" si="15">SUM(B54:M54)</f>
        <v>1300</v>
      </c>
      <c r="P54" s="64"/>
    </row>
    <row r="55" spans="1:17" s="15" customFormat="1" ht="18" customHeight="1" x14ac:dyDescent="0.25">
      <c r="A55" s="6" t="s">
        <v>60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89">
        <f t="shared" si="15"/>
        <v>0</v>
      </c>
      <c r="P55" s="64"/>
    </row>
    <row r="56" spans="1:17" s="15" customFormat="1" ht="18" customHeight="1" x14ac:dyDescent="0.25">
      <c r="A56" s="6" t="s">
        <v>29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89">
        <f t="shared" si="15"/>
        <v>0</v>
      </c>
      <c r="P56" s="64"/>
    </row>
    <row r="57" spans="1:17" s="15" customFormat="1" ht="18" customHeight="1" x14ac:dyDescent="0.25">
      <c r="A57" s="8" t="s">
        <v>30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89">
        <f t="shared" si="15"/>
        <v>0</v>
      </c>
      <c r="P57" s="64"/>
    </row>
    <row r="58" spans="1:17" s="15" customFormat="1" ht="18" customHeight="1" x14ac:dyDescent="0.25">
      <c r="A58" s="8" t="s">
        <v>31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9">
        <v>5428</v>
      </c>
      <c r="L58" s="29">
        <v>0</v>
      </c>
      <c r="M58" s="29">
        <v>0</v>
      </c>
      <c r="N58" s="89">
        <f t="shared" si="15"/>
        <v>5428</v>
      </c>
      <c r="P58" s="64"/>
    </row>
    <row r="59" spans="1:17" s="15" customFormat="1" ht="18" customHeight="1" x14ac:dyDescent="0.25">
      <c r="A59" s="8" t="s">
        <v>61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89">
        <f t="shared" si="15"/>
        <v>0</v>
      </c>
      <c r="P59" s="64"/>
    </row>
    <row r="60" spans="1:17" s="15" customFormat="1" ht="18" customHeight="1" x14ac:dyDescent="0.25">
      <c r="A60" s="8" t="s">
        <v>87</v>
      </c>
      <c r="B60" s="30">
        <v>0</v>
      </c>
      <c r="C60" s="30">
        <v>0</v>
      </c>
      <c r="D60" s="29">
        <v>585000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29">
        <v>1755000.01</v>
      </c>
      <c r="K60" s="30">
        <v>0</v>
      </c>
      <c r="L60" s="30">
        <v>0</v>
      </c>
      <c r="M60" s="30">
        <v>0</v>
      </c>
      <c r="N60" s="89">
        <f t="shared" si="15"/>
        <v>2340000.0099999998</v>
      </c>
      <c r="P60" s="64"/>
    </row>
    <row r="61" spans="1:17" s="15" customFormat="1" ht="18" customHeight="1" x14ac:dyDescent="0.25">
      <c r="A61" s="6" t="s">
        <v>32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89">
        <f t="shared" si="15"/>
        <v>0</v>
      </c>
      <c r="P61" s="64"/>
    </row>
    <row r="62" spans="1:17" s="15" customFormat="1" ht="18" customHeight="1" x14ac:dyDescent="0.25">
      <c r="A62" s="8" t="s">
        <v>62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89">
        <f t="shared" si="15"/>
        <v>0</v>
      </c>
      <c r="P62" s="64"/>
    </row>
    <row r="63" spans="1:17" s="15" customFormat="1" ht="18" customHeight="1" x14ac:dyDescent="0.25">
      <c r="A63" s="6" t="s">
        <v>63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89">
        <f t="shared" si="15"/>
        <v>0</v>
      </c>
      <c r="P63" s="64"/>
    </row>
    <row r="64" spans="1:17" s="15" customFormat="1" ht="18" customHeight="1" x14ac:dyDescent="0.25">
      <c r="A64" s="5" t="s">
        <v>101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90">
        <f>SUM(B64:M64)</f>
        <v>0</v>
      </c>
      <c r="P64" s="64"/>
    </row>
    <row r="65" spans="1:16" s="15" customFormat="1" ht="18" customHeight="1" x14ac:dyDescent="0.25">
      <c r="A65" s="6" t="s">
        <v>64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88">
        <f>SUM(B65:M65)</f>
        <v>0</v>
      </c>
      <c r="P65" s="64"/>
    </row>
    <row r="66" spans="1:16" s="15" customFormat="1" ht="18" customHeight="1" x14ac:dyDescent="0.25">
      <c r="A66" s="8" t="s">
        <v>65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88">
        <f t="shared" ref="N66:N68" si="16">SUM(B66:M66)</f>
        <v>0</v>
      </c>
      <c r="P66" s="64"/>
    </row>
    <row r="67" spans="1:16" s="15" customFormat="1" ht="18" customHeight="1" x14ac:dyDescent="0.25">
      <c r="A67" s="6" t="s">
        <v>66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88">
        <f t="shared" si="16"/>
        <v>0</v>
      </c>
      <c r="P67" s="64"/>
    </row>
    <row r="68" spans="1:16" s="15" customFormat="1" ht="34.5" customHeight="1" x14ac:dyDescent="0.25">
      <c r="A68" s="6" t="s">
        <v>67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88">
        <f t="shared" si="16"/>
        <v>0</v>
      </c>
      <c r="P68" s="64"/>
    </row>
    <row r="69" spans="1:16" s="15" customFormat="1" ht="18" customHeight="1" x14ac:dyDescent="0.25">
      <c r="A69" s="11" t="s">
        <v>102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90">
        <f>SUM(B69:M69)</f>
        <v>0</v>
      </c>
      <c r="P69" s="64"/>
    </row>
    <row r="70" spans="1:16" s="15" customFormat="1" ht="18" customHeight="1" x14ac:dyDescent="0.25">
      <c r="A70" s="6" t="s">
        <v>68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88">
        <f>SUM(B70:M70)</f>
        <v>0</v>
      </c>
      <c r="P70" s="64"/>
    </row>
    <row r="71" spans="1:16" s="15" customFormat="1" ht="18" customHeight="1" x14ac:dyDescent="0.25">
      <c r="A71" s="6" t="s">
        <v>69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88">
        <f t="shared" ref="N71:N74" si="17">SUM(B71:M71)</f>
        <v>0</v>
      </c>
      <c r="P71" s="64"/>
    </row>
    <row r="72" spans="1:16" s="15" customFormat="1" ht="18" customHeight="1" x14ac:dyDescent="0.25">
      <c r="A72" s="6" t="s">
        <v>70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88">
        <f t="shared" si="17"/>
        <v>0</v>
      </c>
      <c r="P72" s="64"/>
    </row>
    <row r="73" spans="1:16" s="15" customFormat="1" ht="18" customHeight="1" x14ac:dyDescent="0.25">
      <c r="A73" s="6" t="s">
        <v>71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88">
        <f t="shared" si="17"/>
        <v>0</v>
      </c>
      <c r="P73" s="64"/>
    </row>
    <row r="74" spans="1:16" s="15" customFormat="1" ht="18" customHeight="1" x14ac:dyDescent="0.25">
      <c r="A74" s="6" t="s">
        <v>72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88">
        <f t="shared" si="17"/>
        <v>0</v>
      </c>
      <c r="P74" s="64"/>
    </row>
    <row r="75" spans="1:16" s="15" customFormat="1" ht="18" customHeight="1" x14ac:dyDescent="0.25">
      <c r="A75" s="5" t="s">
        <v>103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90">
        <f>SUM(B75:M75)</f>
        <v>0</v>
      </c>
      <c r="P75" s="64"/>
    </row>
    <row r="76" spans="1:16" s="15" customFormat="1" ht="18" customHeight="1" x14ac:dyDescent="0.25">
      <c r="A76" s="6" t="s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88">
        <f>SUM(B76:M76)</f>
        <v>0</v>
      </c>
      <c r="P76" s="64"/>
    </row>
    <row r="77" spans="1:16" s="15" customFormat="1" ht="18" customHeight="1" x14ac:dyDescent="0.25">
      <c r="A77" s="6" t="s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88">
        <f t="shared" ref="N77:N79" si="18">SUM(B77:M77)</f>
        <v>0</v>
      </c>
      <c r="P77" s="64"/>
    </row>
    <row r="78" spans="1:16" s="15" customFormat="1" ht="18" customHeight="1" x14ac:dyDescent="0.25">
      <c r="A78" s="6" t="s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f t="shared" si="18"/>
        <v>0</v>
      </c>
      <c r="P78" s="64"/>
    </row>
    <row r="79" spans="1:16" s="15" customFormat="1" ht="18" customHeight="1" x14ac:dyDescent="0.25">
      <c r="A79" s="9" t="s">
        <v>76</v>
      </c>
      <c r="B79" s="36">
        <v>0</v>
      </c>
      <c r="C79" s="36">
        <v>0</v>
      </c>
      <c r="D79" s="36">
        <v>0</v>
      </c>
      <c r="E79" s="36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f t="shared" si="18"/>
        <v>0</v>
      </c>
      <c r="P79" s="64"/>
    </row>
    <row r="80" spans="1:16" s="13" customFormat="1" ht="18" customHeight="1" x14ac:dyDescent="0.25">
      <c r="A80" s="2" t="s">
        <v>33</v>
      </c>
      <c r="B80" s="38">
        <f>B52+B34+B24+B14+B8</f>
        <v>3741957.4200000004</v>
      </c>
      <c r="C80" s="38">
        <f t="shared" ref="C80:L80" si="19">C52+C34+C24+C14+C8+C44</f>
        <v>8798887.5999999996</v>
      </c>
      <c r="D80" s="38">
        <f t="shared" si="19"/>
        <v>7253711.5099999998</v>
      </c>
      <c r="E80" s="38">
        <f t="shared" si="19"/>
        <v>7312698.6099999994</v>
      </c>
      <c r="F80" s="38">
        <f t="shared" si="19"/>
        <v>8855618.2699999996</v>
      </c>
      <c r="G80" s="38">
        <f t="shared" si="19"/>
        <v>7391756.8499999996</v>
      </c>
      <c r="H80" s="38">
        <f t="shared" si="19"/>
        <v>7182597.6600000001</v>
      </c>
      <c r="I80" s="39">
        <f t="shared" si="19"/>
        <v>7447441.8899999997</v>
      </c>
      <c r="J80" s="39">
        <f t="shared" si="19"/>
        <v>7673917.5</v>
      </c>
      <c r="K80" s="39">
        <f t="shared" si="19"/>
        <v>11018951.140000001</v>
      </c>
      <c r="L80" s="39">
        <f t="shared" si="19"/>
        <v>11852581.120000001</v>
      </c>
      <c r="M80" s="39">
        <f t="shared" ref="M80" si="20">M52+M34+M24+M14+M8+M44</f>
        <v>9846600.3000000007</v>
      </c>
      <c r="N80" s="38">
        <f>SUM(B80:M80)</f>
        <v>98376719.870000005</v>
      </c>
      <c r="P80" s="62"/>
    </row>
    <row r="81" spans="1:18" s="17" customFormat="1" ht="21" customHeight="1" x14ac:dyDescent="0.2">
      <c r="A81" s="1" t="s">
        <v>34</v>
      </c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2"/>
      <c r="P81" s="66"/>
    </row>
    <row r="82" spans="1:18" s="15" customFormat="1" ht="18" customHeight="1" x14ac:dyDescent="0.25">
      <c r="A82" s="5" t="s">
        <v>35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f t="shared" ref="N82:N89" si="21">SUM(B82:L82)</f>
        <v>0</v>
      </c>
      <c r="P82" s="64"/>
    </row>
    <row r="83" spans="1:18" s="15" customFormat="1" ht="18" customHeight="1" x14ac:dyDescent="0.25">
      <c r="A83" s="6" t="s">
        <v>36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f t="shared" si="21"/>
        <v>0</v>
      </c>
      <c r="P83" s="64"/>
    </row>
    <row r="84" spans="1:18" s="15" customFormat="1" ht="18" customHeight="1" x14ac:dyDescent="0.25">
      <c r="A84" s="6" t="s">
        <v>77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f t="shared" si="21"/>
        <v>0</v>
      </c>
      <c r="P84" s="64"/>
    </row>
    <row r="85" spans="1:18" s="15" customFormat="1" ht="18" customHeight="1" x14ac:dyDescent="0.25">
      <c r="A85" s="6" t="s">
        <v>37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f t="shared" si="21"/>
        <v>0</v>
      </c>
      <c r="P85" s="64"/>
    </row>
    <row r="86" spans="1:18" s="15" customFormat="1" ht="18" customHeight="1" x14ac:dyDescent="0.25">
      <c r="A86" s="9" t="s">
        <v>38</v>
      </c>
      <c r="B86" s="36">
        <v>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f t="shared" si="21"/>
        <v>0</v>
      </c>
      <c r="P86" s="64"/>
    </row>
    <row r="87" spans="1:18" s="15" customFormat="1" ht="18" customHeight="1" x14ac:dyDescent="0.25">
      <c r="A87" s="5" t="s">
        <v>78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f t="shared" si="21"/>
        <v>0</v>
      </c>
      <c r="P87" s="64"/>
    </row>
    <row r="88" spans="1:18" s="15" customFormat="1" ht="18" customHeight="1" x14ac:dyDescent="0.25">
      <c r="A88" s="6" t="s">
        <v>79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f t="shared" si="21"/>
        <v>0</v>
      </c>
      <c r="P88" s="64"/>
    </row>
    <row r="89" spans="1:18" s="15" customFormat="1" ht="18" customHeight="1" x14ac:dyDescent="0.25">
      <c r="A89" s="6" t="s">
        <v>80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f t="shared" si="21"/>
        <v>0</v>
      </c>
      <c r="P89" s="64"/>
    </row>
    <row r="90" spans="1:18" s="13" customFormat="1" ht="18" customHeight="1" x14ac:dyDescent="0.25">
      <c r="A90" s="2" t="s">
        <v>39</v>
      </c>
      <c r="B90" s="43">
        <f>SUM(B82:B89)</f>
        <v>0</v>
      </c>
      <c r="C90" s="43">
        <f t="shared" ref="C90:O90" si="22">SUM(C82:C89)</f>
        <v>0</v>
      </c>
      <c r="D90" s="43">
        <f t="shared" si="22"/>
        <v>0</v>
      </c>
      <c r="E90" s="43">
        <f t="shared" si="22"/>
        <v>0</v>
      </c>
      <c r="F90" s="43">
        <f t="shared" si="22"/>
        <v>0</v>
      </c>
      <c r="G90" s="43">
        <f t="shared" si="22"/>
        <v>0</v>
      </c>
      <c r="H90" s="43">
        <f t="shared" si="22"/>
        <v>0</v>
      </c>
      <c r="I90" s="43">
        <f t="shared" si="22"/>
        <v>0</v>
      </c>
      <c r="J90" s="43">
        <f t="shared" si="22"/>
        <v>0</v>
      </c>
      <c r="K90" s="43">
        <f t="shared" si="22"/>
        <v>0</v>
      </c>
      <c r="L90" s="43">
        <f t="shared" si="22"/>
        <v>0</v>
      </c>
      <c r="M90" s="43">
        <f t="shared" ref="M90" si="23">SUM(M82:M89)</f>
        <v>0</v>
      </c>
      <c r="N90" s="43">
        <f>SUM(N82:N89)</f>
        <v>0</v>
      </c>
      <c r="O90" s="18">
        <f t="shared" si="22"/>
        <v>0</v>
      </c>
      <c r="P90" s="62"/>
    </row>
    <row r="91" spans="1:18" s="13" customFormat="1" ht="9.75" customHeight="1" x14ac:dyDescent="0.25">
      <c r="A91" s="12"/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25"/>
      <c r="P91" s="62"/>
    </row>
    <row r="92" spans="1:18" s="13" customFormat="1" ht="18" customHeight="1" x14ac:dyDescent="0.25">
      <c r="A92" s="19" t="s">
        <v>40</v>
      </c>
      <c r="B92" s="46">
        <f t="shared" ref="B92:L92" si="24">B80+B90</f>
        <v>3741957.4200000004</v>
      </c>
      <c r="C92" s="46">
        <f t="shared" si="24"/>
        <v>8798887.5999999996</v>
      </c>
      <c r="D92" s="46">
        <f t="shared" si="24"/>
        <v>7253711.5099999998</v>
      </c>
      <c r="E92" s="46">
        <f t="shared" si="24"/>
        <v>7312698.6099999994</v>
      </c>
      <c r="F92" s="46">
        <f t="shared" si="24"/>
        <v>8855618.2699999996</v>
      </c>
      <c r="G92" s="46">
        <f t="shared" si="24"/>
        <v>7391756.8499999996</v>
      </c>
      <c r="H92" s="46">
        <f t="shared" si="24"/>
        <v>7182597.6600000001</v>
      </c>
      <c r="I92" s="47">
        <f t="shared" si="24"/>
        <v>7447441.8899999997</v>
      </c>
      <c r="J92" s="47">
        <f t="shared" si="24"/>
        <v>7673917.5</v>
      </c>
      <c r="K92" s="47">
        <f t="shared" si="24"/>
        <v>11018951.140000001</v>
      </c>
      <c r="L92" s="47">
        <f t="shared" si="24"/>
        <v>11852581.120000001</v>
      </c>
      <c r="M92" s="47">
        <f t="shared" ref="M92" si="25">M80+M90</f>
        <v>9846600.3000000007</v>
      </c>
      <c r="N92" s="46">
        <f>+N80+N90</f>
        <v>98376719.870000005</v>
      </c>
      <c r="P92" s="66">
        <f>+P52+P34+P24+P14+P8</f>
        <v>0.96763688630595523</v>
      </c>
    </row>
    <row r="93" spans="1:18" s="13" customFormat="1" ht="19.5" customHeight="1" x14ac:dyDescent="0.25">
      <c r="A93" s="20" t="s">
        <v>41</v>
      </c>
      <c r="B93" s="48"/>
      <c r="C93" s="49"/>
      <c r="D93" s="49"/>
      <c r="E93" s="49"/>
      <c r="F93" s="49"/>
      <c r="G93" s="49"/>
      <c r="H93" s="49"/>
      <c r="I93" s="49"/>
      <c r="J93" s="49"/>
      <c r="K93" s="50"/>
      <c r="L93" s="50"/>
      <c r="M93" s="50"/>
      <c r="N93" s="50"/>
      <c r="P93" s="62"/>
    </row>
    <row r="94" spans="1:18" x14ac:dyDescent="0.25">
      <c r="B94" s="21"/>
      <c r="R94" s="21">
        <v>88530119.569999993</v>
      </c>
    </row>
    <row r="95" spans="1:18" x14ac:dyDescent="0.25">
      <c r="B95" s="21"/>
      <c r="R95" s="21">
        <f>+R94-N92</f>
        <v>-9846600.3000000119</v>
      </c>
    </row>
    <row r="96" spans="1:18" x14ac:dyDescent="0.25">
      <c r="B96" s="21"/>
      <c r="N96" s="21"/>
    </row>
    <row r="97" spans="1:14" x14ac:dyDescent="0.25">
      <c r="N97" s="51"/>
    </row>
    <row r="99" spans="1:14" x14ac:dyDescent="0.25">
      <c r="C99" s="52"/>
      <c r="D99" s="52"/>
      <c r="E99" s="52"/>
      <c r="G99" s="53"/>
      <c r="H99" s="53"/>
      <c r="J99" s="53"/>
      <c r="K99" s="53"/>
      <c r="L99" s="53"/>
      <c r="M99" s="53"/>
    </row>
    <row r="100" spans="1:14" x14ac:dyDescent="0.25">
      <c r="A100" s="59" t="s">
        <v>130</v>
      </c>
      <c r="C100" s="53"/>
      <c r="D100" s="53"/>
      <c r="E100" s="53"/>
      <c r="F100" s="53"/>
      <c r="G100" s="53"/>
      <c r="H100" s="100" t="s">
        <v>82</v>
      </c>
      <c r="I100" s="100"/>
      <c r="J100" s="100"/>
      <c r="K100" s="100"/>
      <c r="L100" s="100"/>
      <c r="M100" s="100"/>
      <c r="N100" s="100"/>
    </row>
    <row r="101" spans="1:14" x14ac:dyDescent="0.25">
      <c r="A101" s="7" t="s">
        <v>131</v>
      </c>
      <c r="C101" s="22"/>
      <c r="D101" s="22"/>
      <c r="E101" s="22"/>
      <c r="G101" s="22"/>
      <c r="H101" s="101" t="s">
        <v>83</v>
      </c>
      <c r="I101" s="101"/>
      <c r="J101" s="101"/>
      <c r="K101" s="101"/>
      <c r="L101" s="101"/>
      <c r="M101" s="101"/>
      <c r="N101" s="101"/>
    </row>
    <row r="106" spans="1:14" x14ac:dyDescent="0.25">
      <c r="A106" s="94" t="s">
        <v>81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1:14" ht="22.5" customHeight="1" x14ac:dyDescent="0.25">
      <c r="A107" s="95" t="s">
        <v>104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10" spans="1:14" x14ac:dyDescent="0.25">
      <c r="A110" s="3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4" x14ac:dyDescent="0.25">
      <c r="N111" s="53"/>
    </row>
  </sheetData>
  <mergeCells count="10">
    <mergeCell ref="P22:Q22"/>
    <mergeCell ref="A106:N106"/>
    <mergeCell ref="A107:N107"/>
    <mergeCell ref="A5:B5"/>
    <mergeCell ref="A1:N1"/>
    <mergeCell ref="A2:N2"/>
    <mergeCell ref="A3:N3"/>
    <mergeCell ref="A4:N4"/>
    <mergeCell ref="H100:N100"/>
    <mergeCell ref="H101:N101"/>
  </mergeCells>
  <pageMargins left="0.28000000000000003" right="0" top="0.43307086614173201" bottom="0.15748031496063" header="0.31496062992126" footer="0.15748031496063"/>
  <pageSetup paperSize="5" scale="5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E6F6-EF92-4C18-960D-C68EC7A155CB}">
  <dimension ref="C4:O48"/>
  <sheetViews>
    <sheetView showGridLines="0" topLeftCell="C27" zoomScale="90" zoomScaleNormal="90" workbookViewId="0">
      <selection activeCell="I43" sqref="I43"/>
    </sheetView>
  </sheetViews>
  <sheetFormatPr baseColWidth="10" defaultRowHeight="15" x14ac:dyDescent="0.25"/>
  <cols>
    <col min="3" max="3" width="13.5703125" bestFit="1" customWidth="1"/>
    <col min="4" max="4" width="14.85546875" bestFit="1" customWidth="1"/>
    <col min="5" max="5" width="17.5703125" customWidth="1"/>
    <col min="6" max="6" width="15.140625" style="70" bestFit="1" customWidth="1"/>
    <col min="9" max="9" width="95.28515625" bestFit="1" customWidth="1"/>
    <col min="10" max="10" width="14.140625" bestFit="1" customWidth="1"/>
    <col min="11" max="11" width="13.85546875" bestFit="1" customWidth="1"/>
    <col min="15" max="15" width="13.140625" bestFit="1" customWidth="1"/>
  </cols>
  <sheetData>
    <row r="4" spans="5:10" x14ac:dyDescent="0.25">
      <c r="F4" s="72">
        <v>95161475</v>
      </c>
      <c r="G4" s="3" t="s">
        <v>112</v>
      </c>
    </row>
    <row r="6" spans="5:10" x14ac:dyDescent="0.25">
      <c r="E6" s="73">
        <f>+F6*F4</f>
        <v>55057246.105558075</v>
      </c>
      <c r="F6" s="60">
        <v>0.57856654812841091</v>
      </c>
      <c r="G6" t="s">
        <v>106</v>
      </c>
    </row>
    <row r="7" spans="5:10" x14ac:dyDescent="0.25">
      <c r="F7" s="60"/>
    </row>
    <row r="8" spans="5:10" x14ac:dyDescent="0.25">
      <c r="F8" s="60"/>
    </row>
    <row r="9" spans="5:10" x14ac:dyDescent="0.25">
      <c r="E9" s="73">
        <f>+F9*F4</f>
        <v>29984947.610571422</v>
      </c>
      <c r="F9" s="60">
        <v>0.31509544813771984</v>
      </c>
      <c r="G9" s="60">
        <v>0.38112296965631132</v>
      </c>
      <c r="H9" t="s">
        <v>108</v>
      </c>
      <c r="J9" s="74">
        <f>+G9*F4</f>
        <v>36268223.948874831</v>
      </c>
    </row>
    <row r="10" spans="5:10" x14ac:dyDescent="0.25">
      <c r="E10" s="73">
        <f>+F10*F4</f>
        <v>3372934.864159463</v>
      </c>
      <c r="F10" s="60">
        <v>3.5444331481405293E-2</v>
      </c>
      <c r="G10" t="s">
        <v>107</v>
      </c>
    </row>
    <row r="11" spans="5:10" x14ac:dyDescent="0.25">
      <c r="F11" s="60"/>
    </row>
    <row r="12" spans="5:10" x14ac:dyDescent="0.25">
      <c r="F12" s="60"/>
    </row>
    <row r="13" spans="5:10" x14ac:dyDescent="0.25">
      <c r="E13" s="73">
        <f>+F13*F4+396.15</f>
        <v>6283276.338898642</v>
      </c>
      <c r="F13" s="60">
        <v>6.6023358600722004E-2</v>
      </c>
      <c r="G13" t="s">
        <v>109</v>
      </c>
    </row>
    <row r="14" spans="5:10" x14ac:dyDescent="0.25">
      <c r="F14" s="60"/>
    </row>
    <row r="15" spans="5:10" x14ac:dyDescent="0.25">
      <c r="E15" s="73">
        <f>+F15*F4</f>
        <v>463070.08140763419</v>
      </c>
      <c r="F15" s="60">
        <v>4.8661507338724434E-3</v>
      </c>
      <c r="G15" t="s">
        <v>111</v>
      </c>
    </row>
    <row r="16" spans="5:10" x14ac:dyDescent="0.25">
      <c r="F16" s="60"/>
    </row>
    <row r="17" spans="3:15" x14ac:dyDescent="0.25">
      <c r="F17" s="60"/>
    </row>
    <row r="18" spans="3:15" x14ac:dyDescent="0.25">
      <c r="E18" s="74">
        <f>SUM(E6:E17)</f>
        <v>95161475.000595242</v>
      </c>
      <c r="F18" s="82">
        <f>SUM(F6:F17)</f>
        <v>0.99999583708213036</v>
      </c>
    </row>
    <row r="19" spans="3:15" x14ac:dyDescent="0.25">
      <c r="E19" s="71">
        <f>+E18-F4</f>
        <v>5.9524178504943848E-4</v>
      </c>
    </row>
    <row r="25" spans="3:15" ht="18.75" x14ac:dyDescent="0.3">
      <c r="E25" s="81" t="s">
        <v>114</v>
      </c>
    </row>
    <row r="27" spans="3:15" x14ac:dyDescent="0.25">
      <c r="C27" s="77">
        <f t="shared" ref="C27:C36" si="0">SUM(D27:E27)</f>
        <v>7598071</v>
      </c>
      <c r="D27" s="71">
        <v>3567883.7</v>
      </c>
      <c r="E27" s="71">
        <f>4030187.3</f>
        <v>4030187.3</v>
      </c>
      <c r="F27" s="76">
        <v>44562</v>
      </c>
      <c r="G27" t="s">
        <v>113</v>
      </c>
      <c r="I27" s="77" t="s">
        <v>117</v>
      </c>
      <c r="J27" s="80" t="s">
        <v>115</v>
      </c>
      <c r="K27" s="79">
        <v>5920170.79</v>
      </c>
      <c r="N27" s="78" t="s">
        <v>115</v>
      </c>
      <c r="O27" s="79">
        <v>5920170.79</v>
      </c>
    </row>
    <row r="28" spans="3:15" x14ac:dyDescent="0.25">
      <c r="C28" s="77">
        <f t="shared" si="0"/>
        <v>3530125.83</v>
      </c>
      <c r="D28" s="77">
        <v>3530125.83</v>
      </c>
      <c r="E28" s="71">
        <v>0</v>
      </c>
      <c r="F28" s="76">
        <v>44593</v>
      </c>
      <c r="G28" t="s">
        <v>113</v>
      </c>
      <c r="I28" t="s">
        <v>125</v>
      </c>
    </row>
    <row r="29" spans="3:15" x14ac:dyDescent="0.25">
      <c r="C29" s="77">
        <f t="shared" si="0"/>
        <v>7875400.1600000001</v>
      </c>
      <c r="D29" s="77">
        <v>3807454.99</v>
      </c>
      <c r="E29" s="71">
        <v>4067945.17</v>
      </c>
      <c r="F29" s="76">
        <v>44621</v>
      </c>
      <c r="G29" t="s">
        <v>113</v>
      </c>
      <c r="I29" s="77" t="s">
        <v>116</v>
      </c>
    </row>
    <row r="30" spans="3:15" x14ac:dyDescent="0.25">
      <c r="C30" s="77">
        <f t="shared" si="0"/>
        <v>11388687.01</v>
      </c>
      <c r="D30" s="77">
        <v>3733618.84</v>
      </c>
      <c r="E30" s="71">
        <f>3790616.01+3864452.16</f>
        <v>7655068.1699999999</v>
      </c>
      <c r="F30" s="76">
        <v>44652</v>
      </c>
      <c r="G30" t="s">
        <v>113</v>
      </c>
      <c r="I30" t="s">
        <v>118</v>
      </c>
    </row>
    <row r="31" spans="3:15" x14ac:dyDescent="0.25">
      <c r="C31" s="77">
        <f t="shared" si="0"/>
        <v>7598071</v>
      </c>
      <c r="D31" s="77">
        <v>3723297.89</v>
      </c>
      <c r="E31" s="71">
        <v>3874773.11</v>
      </c>
      <c r="F31" s="76">
        <v>44682</v>
      </c>
      <c r="G31" t="s">
        <v>113</v>
      </c>
      <c r="I31" t="s">
        <v>119</v>
      </c>
    </row>
    <row r="32" spans="3:15" x14ac:dyDescent="0.25">
      <c r="C32" s="77">
        <f t="shared" si="0"/>
        <v>7598071</v>
      </c>
      <c r="D32" s="77">
        <v>3867410.39</v>
      </c>
      <c r="E32" s="71">
        <v>3730660.61</v>
      </c>
      <c r="F32" s="76">
        <v>44713</v>
      </c>
      <c r="G32" t="s">
        <v>113</v>
      </c>
      <c r="I32" t="s">
        <v>121</v>
      </c>
    </row>
    <row r="33" spans="3:9" x14ac:dyDescent="0.25">
      <c r="C33" s="77">
        <f t="shared" si="0"/>
        <v>7598071</v>
      </c>
      <c r="D33" s="77">
        <v>3878939.39</v>
      </c>
      <c r="E33" s="71">
        <v>3719131.61</v>
      </c>
      <c r="F33" s="76">
        <v>44743</v>
      </c>
      <c r="G33" t="s">
        <v>113</v>
      </c>
      <c r="I33" t="s">
        <v>122</v>
      </c>
    </row>
    <row r="34" spans="3:9" x14ac:dyDescent="0.25">
      <c r="C34" s="77">
        <f t="shared" si="0"/>
        <v>7598071</v>
      </c>
      <c r="D34" s="77">
        <v>3890358.39</v>
      </c>
      <c r="E34" s="71">
        <v>3707712.61</v>
      </c>
      <c r="F34" s="76">
        <v>44774</v>
      </c>
      <c r="G34" t="s">
        <v>113</v>
      </c>
      <c r="I34" t="s">
        <v>123</v>
      </c>
    </row>
    <row r="35" spans="3:9" x14ac:dyDescent="0.25">
      <c r="C35" s="77">
        <f t="shared" si="0"/>
        <v>7598071</v>
      </c>
      <c r="D35" s="77">
        <v>3844187.94</v>
      </c>
      <c r="E35" s="71">
        <v>3753883.06</v>
      </c>
      <c r="F35" s="76">
        <v>44805</v>
      </c>
      <c r="G35" t="s">
        <v>113</v>
      </c>
      <c r="I35" t="s">
        <v>124</v>
      </c>
    </row>
    <row r="36" spans="3:9" x14ac:dyDescent="0.25">
      <c r="C36" s="77">
        <f t="shared" si="0"/>
        <v>7598071</v>
      </c>
      <c r="D36" s="77">
        <v>3676963.29</v>
      </c>
      <c r="E36" s="71">
        <v>3921107.71</v>
      </c>
      <c r="F36" s="76">
        <v>44835</v>
      </c>
      <c r="G36" t="s">
        <v>113</v>
      </c>
    </row>
    <row r="37" spans="3:9" x14ac:dyDescent="0.25">
      <c r="C37" s="77">
        <f>SUM(D37:E37)</f>
        <v>7598071</v>
      </c>
      <c r="D37" s="77">
        <v>3809490.94</v>
      </c>
      <c r="E37" s="71">
        <v>3788580.06</v>
      </c>
      <c r="F37" s="76">
        <v>44866</v>
      </c>
      <c r="G37" t="s">
        <v>113</v>
      </c>
    </row>
    <row r="38" spans="3:9" x14ac:dyDescent="0.25">
      <c r="D38" s="77">
        <v>3288376.39</v>
      </c>
      <c r="E38" s="71"/>
      <c r="F38" s="76">
        <v>44896</v>
      </c>
      <c r="G38" t="s">
        <v>113</v>
      </c>
      <c r="I38" t="s">
        <v>126</v>
      </c>
    </row>
    <row r="39" spans="3:9" x14ac:dyDescent="0.25">
      <c r="E39" s="71"/>
    </row>
    <row r="41" spans="3:9" x14ac:dyDescent="0.25">
      <c r="D41" s="74">
        <f>SUM(D27:D40)</f>
        <v>44618107.979999997</v>
      </c>
      <c r="E41" s="74">
        <f>SUM(E27:E40)</f>
        <v>42249049.410000004</v>
      </c>
      <c r="F41" s="75" t="s">
        <v>120</v>
      </c>
      <c r="I41" s="71"/>
    </row>
    <row r="43" spans="3:9" x14ac:dyDescent="0.25">
      <c r="E43" s="73">
        <f>+E41+D41</f>
        <v>86867157.390000001</v>
      </c>
    </row>
    <row r="44" spans="3:9" x14ac:dyDescent="0.25">
      <c r="E44" s="71">
        <v>7598071</v>
      </c>
      <c r="F44" s="70" t="s">
        <v>127</v>
      </c>
    </row>
    <row r="45" spans="3:9" x14ac:dyDescent="0.25">
      <c r="D45" s="77">
        <v>95161475</v>
      </c>
      <c r="E45" s="73">
        <f>+E44+E43</f>
        <v>94465228.390000001</v>
      </c>
    </row>
    <row r="46" spans="3:9" x14ac:dyDescent="0.25">
      <c r="E46" s="73">
        <f>+D45-E45</f>
        <v>696246.6099999994</v>
      </c>
    </row>
    <row r="47" spans="3:9" x14ac:dyDescent="0.25">
      <c r="E47">
        <v>698745.61</v>
      </c>
    </row>
    <row r="48" spans="3:9" x14ac:dyDescent="0.25">
      <c r="E48" s="73">
        <f>+E47-E46</f>
        <v>2499.0000000005821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2022</vt:lpstr>
      <vt:lpstr>Hoja1</vt:lpstr>
      <vt:lpstr>'Noviembre 2022'!Área_de_impresión</vt:lpstr>
      <vt:lpstr>Hoja1!OLE_LINK1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2023-01-10T15:00:07Z</cp:lastPrinted>
  <dcterms:created xsi:type="dcterms:W3CDTF">2018-10-05T19:26:31Z</dcterms:created>
  <dcterms:modified xsi:type="dcterms:W3CDTF">2023-01-10T16:03:04Z</dcterms:modified>
</cp:coreProperties>
</file>